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ADDA855C-450B-4205-AC0B-2E0F6A89E23C}" xr6:coauthVersionLast="47" xr6:coauthVersionMax="47" xr10:uidLastSave="{00000000-0000-0000-0000-000000000000}"/>
  <bookViews>
    <workbookView xWindow="-108" yWindow="-108" windowWidth="23256" windowHeight="12456" tabRatio="741" firstSheet="7" activeTab="17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" sheetId="27" r:id="rId6"/>
    <sheet name="元大美債20" sheetId="48" r:id="rId7"/>
    <sheet name="統一" sheetId="49" r:id="rId8"/>
    <sheet name="台塑化" sheetId="56" r:id="rId9"/>
    <sheet name="達欣工" sheetId="17" r:id="rId10"/>
    <sheet name="台企銀" sheetId="4" r:id="rId11"/>
    <sheet name="玉山金" sheetId="44" r:id="rId12"/>
    <sheet name="台新金" sheetId="15" r:id="rId13"/>
    <sheet name="國眾" sheetId="41" r:id="rId14"/>
    <sheet name="致和證" sheetId="45" r:id="rId15"/>
    <sheet name="9933中鼎" sheetId="39" r:id="rId16"/>
    <sheet name="5706鳳凰(結案)" sheetId="35" r:id="rId17"/>
    <sheet name="國泰全球品牌(結清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3" l="1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J42" i="43"/>
  <c r="U25" i="57" l="1"/>
  <c r="U11" i="57"/>
  <c r="T31" i="57"/>
  <c r="F27" i="57"/>
  <c r="I42" i="43"/>
  <c r="I41" i="43"/>
  <c r="J41" i="43"/>
  <c r="J44" i="43" s="1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L58" i="41" s="1"/>
  <c r="C13" i="56" l="1"/>
  <c r="L59" i="41"/>
  <c r="L61" i="41" s="1"/>
  <c r="D74" i="41"/>
  <c r="D75" i="41" s="1"/>
  <c r="C74" i="41"/>
  <c r="C76" i="41" s="1"/>
  <c r="G57" i="41"/>
  <c r="G58" i="41" s="1"/>
  <c r="H57" i="41"/>
  <c r="H58" i="41" s="1"/>
  <c r="I57" i="41"/>
  <c r="I59" i="41" s="1"/>
  <c r="J57" i="41"/>
  <c r="J58" i="41" s="1"/>
  <c r="K57" i="41"/>
  <c r="K58" i="41" s="1"/>
  <c r="J59" i="41"/>
  <c r="K59" i="41"/>
  <c r="H59" i="41" l="1"/>
  <c r="H61" i="41" s="1"/>
  <c r="G59" i="41"/>
  <c r="G61" i="41" s="1"/>
  <c r="I58" i="41"/>
  <c r="I61" i="41" s="1"/>
  <c r="K61" i="41"/>
  <c r="J61" i="41"/>
  <c r="D76" i="41"/>
  <c r="D78" i="41" s="1"/>
  <c r="C75" i="41"/>
  <c r="C78" i="41" s="1"/>
  <c r="F57" i="41"/>
  <c r="F58" i="41" s="1"/>
  <c r="F59" i="41" l="1"/>
  <c r="F61" i="41" s="1"/>
  <c r="D57" i="41" l="1"/>
  <c r="D58" i="41" s="1"/>
  <c r="E57" i="41"/>
  <c r="E58" i="41" s="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J41" i="41" s="1"/>
  <c r="K40" i="41"/>
  <c r="K41" i="41" s="1"/>
  <c r="L40" i="41"/>
  <c r="L41" i="41" s="1"/>
  <c r="J42" i="41" l="1"/>
  <c r="J44" i="41" s="1"/>
  <c r="C58" i="41"/>
  <c r="C61" i="41" s="1"/>
  <c r="L42" i="41"/>
  <c r="L44" i="41" s="1"/>
  <c r="K42" i="41"/>
  <c r="K44" i="41" s="1"/>
  <c r="I40" i="41"/>
  <c r="I41" i="41" s="1"/>
  <c r="J40" i="39"/>
  <c r="H12" i="45"/>
  <c r="I12" i="45" s="1"/>
  <c r="H40" i="41"/>
  <c r="H42" i="41" s="1"/>
  <c r="G22" i="44"/>
  <c r="E6" i="49"/>
  <c r="E10" i="49" s="1"/>
  <c r="O37" i="54"/>
  <c r="L37" i="54"/>
  <c r="C61" i="4" l="1"/>
  <c r="H41" i="4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61" i="17" s="1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4" i="48" s="1"/>
  <c r="I27" i="48" s="1"/>
  <c r="E29" i="4" l="1"/>
  <c r="H29" i="48" l="1"/>
  <c r="I29" i="48" s="1"/>
  <c r="J22" i="48" s="1"/>
  <c r="J23" i="48" s="1"/>
  <c r="J27" i="48" s="1"/>
  <c r="H23" i="48"/>
  <c r="H24" i="48" s="1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F24" i="48" s="1"/>
  <c r="E23" i="48"/>
  <c r="E24" i="48" s="1"/>
  <c r="D23" i="48"/>
  <c r="C23" i="48"/>
  <c r="C12" i="48"/>
  <c r="D12" i="48" s="1"/>
  <c r="E12" i="48" s="1"/>
  <c r="F12" i="48" s="1"/>
  <c r="G12" i="48" s="1"/>
  <c r="H12" i="48" s="1"/>
  <c r="L6" i="48"/>
  <c r="L7" i="48" s="1"/>
  <c r="L10" i="48" s="1"/>
  <c r="K6" i="48"/>
  <c r="K7" i="48" s="1"/>
  <c r="J6" i="48"/>
  <c r="I6" i="48"/>
  <c r="H6" i="48"/>
  <c r="H7" i="48" s="1"/>
  <c r="G6" i="48"/>
  <c r="F6" i="48"/>
  <c r="F7" i="48" s="1"/>
  <c r="F10" i="48" s="1"/>
  <c r="D6" i="48"/>
  <c r="D7" i="48" s="1"/>
  <c r="D10" i="48" s="1"/>
  <c r="C6" i="48"/>
  <c r="C7" i="48" s="1"/>
  <c r="C10" i="48" s="1"/>
  <c r="C11" i="48" s="1"/>
  <c r="G57" i="17"/>
  <c r="G61" i="17" s="1"/>
  <c r="E41" i="43"/>
  <c r="F41" i="43"/>
  <c r="G41" i="43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4" i="48"/>
  <c r="D27" i="48" s="1"/>
  <c r="H10" i="48"/>
  <c r="G7" i="48"/>
  <c r="G10" i="48" s="1"/>
  <c r="E7" i="48"/>
  <c r="E10" i="48" s="1"/>
  <c r="D11" i="48"/>
  <c r="C13" i="48"/>
  <c r="C24" i="48"/>
  <c r="C27" i="48" s="1"/>
  <c r="I7" i="48"/>
  <c r="I10" i="48" s="1"/>
  <c r="J7" i="48"/>
  <c r="J10" i="48" s="1"/>
  <c r="G42" i="43"/>
  <c r="G44" i="43" s="1"/>
  <c r="F42" i="43"/>
  <c r="F44" i="43" s="1"/>
  <c r="E42" i="43"/>
  <c r="E44" i="43" s="1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4" i="44" s="1"/>
  <c r="E27" i="44" s="1"/>
  <c r="C23" i="44"/>
  <c r="C24" i="44" s="1"/>
  <c r="L6" i="44"/>
  <c r="L7" i="44" s="1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7" i="44" s="1"/>
  <c r="H10" i="44" s="1"/>
  <c r="G6" i="44"/>
  <c r="G7" i="44" s="1"/>
  <c r="F6" i="44"/>
  <c r="F7" i="44" s="1"/>
  <c r="E6" i="44"/>
  <c r="E7" i="44" s="1"/>
  <c r="D6" i="44"/>
  <c r="D7" i="44" s="1"/>
  <c r="C6" i="44"/>
  <c r="C7" i="44" s="1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0" i="17"/>
  <c r="I44" i="17" s="1"/>
  <c r="J40" i="17"/>
  <c r="J44" i="17" s="1"/>
  <c r="K40" i="17"/>
  <c r="K44" i="17" s="1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0" i="41"/>
  <c r="G44" i="41" s="1"/>
  <c r="L29" i="41"/>
  <c r="L23" i="41"/>
  <c r="L27" i="41" s="1"/>
  <c r="D23" i="41"/>
  <c r="D24" i="41" s="1"/>
  <c r="E23" i="41"/>
  <c r="E24" i="41" s="1"/>
  <c r="F23" i="41"/>
  <c r="F24" i="41" s="1"/>
  <c r="G23" i="41"/>
  <c r="H23" i="41"/>
  <c r="H24" i="41" s="1"/>
  <c r="I23" i="41"/>
  <c r="J23" i="41"/>
  <c r="K23" i="41"/>
  <c r="K24" i="41" s="1"/>
  <c r="C23" i="41"/>
  <c r="C24" i="41" s="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D7" i="41" s="1"/>
  <c r="E6" i="41"/>
  <c r="E7" i="41" s="1"/>
  <c r="F6" i="41"/>
  <c r="F7" i="41" s="1"/>
  <c r="G6" i="41"/>
  <c r="G7" i="41" s="1"/>
  <c r="H6" i="41"/>
  <c r="H7" i="41" s="1"/>
  <c r="I6" i="41"/>
  <c r="J6" i="41"/>
  <c r="K6" i="41"/>
  <c r="K7" i="41" s="1"/>
  <c r="L6" i="41"/>
  <c r="C6" i="41"/>
  <c r="C7" i="41" s="1"/>
  <c r="D40" i="41"/>
  <c r="D41" i="41" s="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1" i="41"/>
  <c r="E44" i="41" s="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4" i="41"/>
  <c r="I27" i="41" s="1"/>
  <c r="D42" i="41"/>
  <c r="D44" i="41" s="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1" i="41"/>
  <c r="F44" i="41" s="1"/>
  <c r="C27" i="44"/>
  <c r="D24" i="44"/>
  <c r="D27" i="44" s="1"/>
  <c r="K27" i="4"/>
  <c r="F27" i="4"/>
  <c r="D10" i="41"/>
  <c r="J7" i="44"/>
  <c r="J10" i="44" s="1"/>
  <c r="K10" i="41"/>
  <c r="L7" i="41"/>
  <c r="L10" i="41" s="1"/>
  <c r="J24" i="41"/>
  <c r="J27" i="41" s="1"/>
  <c r="J11" i="17"/>
  <c r="I13" i="17"/>
  <c r="I44" i="4"/>
  <c r="E44" i="4"/>
  <c r="F44" i="4"/>
  <c r="J44" i="4"/>
  <c r="D44" i="4"/>
  <c r="D45" i="4" s="1"/>
  <c r="H44" i="4"/>
  <c r="G44" i="4"/>
  <c r="K44" i="4"/>
  <c r="E7" i="45"/>
  <c r="E10" i="45" s="1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I7" i="44" s="1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7" i="41"/>
  <c r="J10" i="41" s="1"/>
  <c r="I7" i="41"/>
  <c r="I10" i="41" s="1"/>
  <c r="G24" i="41"/>
  <c r="G27" i="41" s="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40" i="17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7" i="27" s="1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7" i="27"/>
  <c r="L10" i="27" s="1"/>
  <c r="H47" i="4"/>
  <c r="I45" i="4"/>
  <c r="K30" i="50"/>
  <c r="L28" i="50"/>
  <c r="H11" i="44"/>
  <c r="G13" i="44"/>
  <c r="K7" i="27"/>
  <c r="K10" i="27" s="1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6" i="39"/>
  <c r="L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J6" i="39"/>
  <c r="J7" i="39" s="1"/>
  <c r="K6" i="39"/>
  <c r="K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I6" i="39"/>
  <c r="I7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6" i="39"/>
  <c r="H7" i="39" s="1"/>
  <c r="H10" i="39" s="1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G6" i="39"/>
  <c r="G7" i="39" s="1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F6" i="39"/>
  <c r="F7" i="39" s="1"/>
  <c r="E6" i="39"/>
  <c r="E7" i="39" s="1"/>
  <c r="D6" i="39"/>
  <c r="D7" i="39" s="1"/>
  <c r="C6" i="39"/>
  <c r="C7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H7" i="27" s="1"/>
  <c r="I6" i="27"/>
  <c r="I7" i="27" s="1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7" i="27" s="1"/>
  <c r="D10" i="27" s="1"/>
  <c r="E6" i="27"/>
  <c r="F6" i="27"/>
  <c r="G6" i="27"/>
  <c r="G7" i="27" s="1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7" i="27" s="1"/>
  <c r="C10" i="27" s="1"/>
  <c r="C11" i="27" s="1"/>
  <c r="D64" i="40" l="1"/>
  <c r="E62" i="40"/>
  <c r="I13" i="35"/>
  <c r="J11" i="35"/>
  <c r="H28" i="39"/>
  <c r="G30" i="39"/>
  <c r="C13" i="27"/>
  <c r="D11" i="27"/>
  <c r="F7" i="27"/>
  <c r="F10" i="27" s="1"/>
  <c r="E7" i="27"/>
  <c r="E10" i="27" s="1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G40" i="17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D7" i="15" s="1"/>
  <c r="E6" i="15"/>
  <c r="F28" i="35" l="1"/>
  <c r="E30" i="35"/>
  <c r="E7" i="15"/>
  <c r="E10" i="15"/>
  <c r="C30" i="27"/>
  <c r="D28" i="27"/>
  <c r="F45" i="17"/>
  <c r="E47" i="17"/>
  <c r="D10" i="15"/>
  <c r="C12" i="15"/>
  <c r="D12" i="15" s="1"/>
  <c r="E12" i="15" s="1"/>
  <c r="F12" i="15" s="1"/>
  <c r="C6" i="15"/>
  <c r="C7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<sst xmlns="http://schemas.openxmlformats.org/spreadsheetml/2006/main" count="3262" uniqueCount="695">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</sst>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177" fontId="0" fillId="11" borderId="3" xfId="1" applyNumberFormat="1" applyFont="1" applyFill="1" applyBorder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2"/>
  <cols>
    <col min="1" max="1" width="3.88671875" customWidth="1"/>
    <col min="2" max="2" width="3.6640625" customWidth="1"/>
    <col min="3" max="3" width="7.21875" customWidth="1"/>
    <col min="4" max="4" width="11" customWidth="1"/>
    <col min="5" max="5" width="6.109375" customWidth="1"/>
    <col min="6" max="6" width="6.33203125" customWidth="1"/>
    <col min="7" max="7" width="9.6640625" hidden="1" customWidth="1"/>
    <col min="8" max="8" width="10.33203125" customWidth="1"/>
    <col min="9" max="9" width="8.33203125" hidden="1" customWidth="1"/>
    <col min="10" max="10" width="9.109375" customWidth="1"/>
    <col min="11" max="11" width="10.77734375" hidden="1" customWidth="1"/>
    <col min="12" max="12" width="12.77734375" customWidth="1"/>
    <col min="13" max="13" width="7.44140625" customWidth="1"/>
    <col min="14" max="14" width="10.33203125" customWidth="1"/>
    <col min="15" max="15" width="13.21875" customWidth="1"/>
    <col min="16" max="16" width="14.6640625" customWidth="1"/>
    <col min="17" max="17" width="7.21875" customWidth="1"/>
    <col min="18" max="18" width="12.21875" customWidth="1"/>
    <col min="19" max="19" width="7.21875" customWidth="1"/>
    <col min="20" max="20" width="13.21875" customWidth="1"/>
    <col min="21" max="21" width="7.6640625" customWidth="1"/>
    <col min="22" max="22" width="5.88671875" customWidth="1"/>
    <col min="23" max="23" width="9.21875" bestFit="1" customWidth="1"/>
  </cols>
  <sheetData>
    <row r="1" spans="1:23" ht="19.8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399999999999999" customHeight="1">
      <c r="A3" s="7"/>
      <c r="B3" s="72"/>
      <c r="C3" s="72"/>
      <c r="D3" s="72"/>
      <c r="E3" s="354"/>
      <c r="F3" s="355"/>
      <c r="G3" s="72"/>
      <c r="H3" s="72" t="s">
        <v>372</v>
      </c>
      <c r="I3" s="72"/>
      <c r="J3" s="72" t="s">
        <v>373</v>
      </c>
      <c r="K3" s="6"/>
      <c r="L3" s="357" t="s">
        <v>374</v>
      </c>
      <c r="M3" s="358"/>
      <c r="N3" s="120" t="s">
        <v>375</v>
      </c>
      <c r="O3" s="168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2"/>
      <c r="C4" s="122"/>
      <c r="D4" s="122"/>
      <c r="E4" s="356" t="s">
        <v>493</v>
      </c>
      <c r="F4" s="356"/>
      <c r="G4" s="209"/>
      <c r="H4" s="361" t="s">
        <v>515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3" t="s">
        <v>382</v>
      </c>
      <c r="E5" s="123" t="s">
        <v>383</v>
      </c>
      <c r="F5" s="123" t="s">
        <v>384</v>
      </c>
      <c r="G5" s="123"/>
      <c r="H5" s="360" t="s">
        <v>377</v>
      </c>
      <c r="I5" s="360"/>
      <c r="J5" s="360" t="s">
        <v>378</v>
      </c>
      <c r="K5" s="360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3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94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94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94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4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5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96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97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97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97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97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97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97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97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97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97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97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97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97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7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7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97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7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6.8" thickBot="1">
      <c r="A29" s="398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1" t="s">
        <v>510</v>
      </c>
      <c r="B30" s="382"/>
      <c r="C30" s="382"/>
      <c r="D30" s="382"/>
      <c r="E30" s="383"/>
      <c r="F30" s="401">
        <f>O30+T32</f>
        <v>171792474.03200001</v>
      </c>
      <c r="G30" s="402">
        <f t="shared" ref="G30:H31" si="10">B20+G22</f>
        <v>9</v>
      </c>
      <c r="H30" s="403">
        <f t="shared" si="10"/>
        <v>167887</v>
      </c>
      <c r="I30" s="219"/>
      <c r="J30" s="413" t="s">
        <v>508</v>
      </c>
      <c r="K30" s="139"/>
      <c r="L30" s="340">
        <f>SUM(L12:L29)</f>
        <v>96989979.96800001</v>
      </c>
      <c r="M30" s="271"/>
      <c r="N30" s="346" t="s">
        <v>517</v>
      </c>
      <c r="O30" s="333">
        <f>SUM(O12:O29)</f>
        <v>151411841</v>
      </c>
      <c r="P30" s="342">
        <f>O30-L30</f>
        <v>54421861.03199999</v>
      </c>
      <c r="Q30" s="344">
        <f>SUM(Q12:Q29)</f>
        <v>88.081094833898462</v>
      </c>
      <c r="R30" s="370">
        <f>SUM(R12:R29)</f>
        <v>41405453</v>
      </c>
      <c r="S30" s="338">
        <f>SUM(S12:S23)</f>
        <v>100</v>
      </c>
      <c r="T30" s="376">
        <f>SUM(T12:T29)</f>
        <v>13016408.032000002</v>
      </c>
      <c r="U30" s="374">
        <f>SUM(U12:U29)</f>
        <v>63.866554152477512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#REF!+F23</f>
        <v>#REF!</v>
      </c>
      <c r="G31" s="405">
        <f t="shared" si="10"/>
        <v>10</v>
      </c>
      <c r="H31" s="406">
        <f t="shared" si="10"/>
        <v>180410</v>
      </c>
      <c r="I31" s="219"/>
      <c r="J31" s="414"/>
      <c r="K31" s="139"/>
      <c r="L31" s="341"/>
      <c r="M31" s="272"/>
      <c r="N31" s="347"/>
      <c r="O31" s="334"/>
      <c r="P31" s="343"/>
      <c r="Q31" s="345"/>
      <c r="R31" s="371"/>
      <c r="S31" s="339"/>
      <c r="T31" s="377"/>
      <c r="U31" s="375"/>
    </row>
    <row r="32" spans="1:21" ht="13.65" customHeight="1">
      <c r="A32" s="387" t="s">
        <v>511</v>
      </c>
      <c r="B32" s="388"/>
      <c r="C32" s="388"/>
      <c r="D32" s="388"/>
      <c r="E32" s="389"/>
      <c r="F32" s="407">
        <f>T35/L30</f>
        <v>1.7712394011080284</v>
      </c>
      <c r="G32" s="408"/>
      <c r="H32" s="409"/>
      <c r="I32" s="220"/>
      <c r="J32" s="399" t="s">
        <v>509</v>
      </c>
      <c r="K32" s="7"/>
      <c r="L32" s="247"/>
      <c r="M32" s="273"/>
      <c r="N32" s="348" t="s">
        <v>518</v>
      </c>
      <c r="O32" s="350">
        <v>150815890</v>
      </c>
      <c r="P32" s="378">
        <f>P30+P11</f>
        <v>61786086.03199999</v>
      </c>
      <c r="Q32" s="379">
        <f>Q30+Q11</f>
        <v>100.00000000000001</v>
      </c>
      <c r="R32" s="366">
        <f>R30</f>
        <v>41405453</v>
      </c>
      <c r="S32" s="280" t="s">
        <v>491</v>
      </c>
      <c r="T32" s="368">
        <f>T30+T11</f>
        <v>20380633.032000002</v>
      </c>
      <c r="U32" s="281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20"/>
      <c r="J33" s="400"/>
      <c r="K33" s="7"/>
      <c r="L33" s="248"/>
      <c r="M33" s="274"/>
      <c r="N33" s="349"/>
      <c r="O33" s="351"/>
      <c r="P33" s="343"/>
      <c r="Q33" s="380"/>
      <c r="R33" s="367"/>
      <c r="S33" s="282">
        <f>R32/P32*100</f>
        <v>67.014202807012992</v>
      </c>
      <c r="T33" s="369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5" t="s">
        <v>489</v>
      </c>
      <c r="Q35" s="336"/>
      <c r="R35" s="336"/>
      <c r="S35" s="337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5" t="s">
        <v>490</v>
      </c>
      <c r="Q36" s="336"/>
      <c r="R36" s="336"/>
      <c r="S36" s="337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A30:E31"/>
    <mergeCell ref="A32:E33"/>
    <mergeCell ref="A6:A11"/>
    <mergeCell ref="A12:A29"/>
    <mergeCell ref="J32:J33"/>
    <mergeCell ref="F30:H31"/>
    <mergeCell ref="F32:H33"/>
    <mergeCell ref="J30:J31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B5:C5"/>
    <mergeCell ref="E3:F3"/>
    <mergeCell ref="E4:F4"/>
    <mergeCell ref="L3:M3"/>
    <mergeCell ref="P3:Q3"/>
    <mergeCell ref="H5:I5"/>
    <mergeCell ref="J5:K5"/>
    <mergeCell ref="H4:O4"/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13" zoomScaleNormal="100" workbookViewId="0">
      <selection activeCell="F57" sqref="F57"/>
    </sheetView>
  </sheetViews>
  <sheetFormatPr defaultRowHeight="16.2"/>
  <cols>
    <col min="1" max="1" width="4.44140625" style="28" customWidth="1"/>
    <col min="2" max="2" width="8" customWidth="1"/>
    <col min="3" max="3" width="11.88671875" customWidth="1"/>
    <col min="4" max="6" width="11.77734375" customWidth="1"/>
    <col min="7" max="7" width="12.44140625" customWidth="1"/>
    <col min="8" max="8" width="12.21875" customWidth="1"/>
    <col min="9" max="9" width="11.33203125" customWidth="1"/>
    <col min="10" max="10" width="11.77734375" customWidth="1"/>
    <col min="11" max="11" width="11.6640625" customWidth="1"/>
    <col min="12" max="12" width="11.33203125" customWidth="1"/>
  </cols>
  <sheetData>
    <row r="1" spans="1:12">
      <c r="A1" s="437" t="s">
        <v>33</v>
      </c>
      <c r="B1" s="438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6.8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6.8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33</v>
      </c>
      <c r="B18" s="438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6.8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6.8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7" t="s">
        <v>33</v>
      </c>
      <c r="B35" s="438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-1.3923000000000001</v>
      </c>
      <c r="I38" s="6">
        <v>-2.5082450000000001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 t="shared" ref="G40" si="13">+G38*G39*1000</f>
        <v>-648445.98400000005</v>
      </c>
      <c r="H40" s="80">
        <f>H38*H39*1000</f>
        <v>-556920.00000000012</v>
      </c>
      <c r="I40" s="80">
        <f>I38*I39*1000</f>
        <v>-1003298</v>
      </c>
      <c r="J40" s="80">
        <f t="shared" ref="J40:K40" si="14">J38*J39*1000</f>
        <v>-1000000</v>
      </c>
      <c r="K40" s="80">
        <f t="shared" si="14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5">ROUNDDOWN(+E40*0.001425*0.45,0)</f>
        <v>345</v>
      </c>
      <c r="F41" s="33">
        <f t="shared" si="15"/>
        <v>318</v>
      </c>
      <c r="G41" s="33"/>
      <c r="H41" s="33"/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6">+E40+E41</f>
        <v>539845</v>
      </c>
      <c r="F44" s="83">
        <f t="shared" si="16"/>
        <v>497118</v>
      </c>
      <c r="G44" s="83">
        <f>SUM(G40:G43)</f>
        <v>-648445.98400000005</v>
      </c>
      <c r="H44" s="83">
        <f>SUM(H40:H43)</f>
        <v>-556920.00000000012</v>
      </c>
      <c r="I44" s="83">
        <f>SUM(I40:I43)</f>
        <v>-1003288</v>
      </c>
      <c r="J44" s="83">
        <f t="shared" ref="J44:K44" si="17">SUM(J40:J43)</f>
        <v>-999990</v>
      </c>
      <c r="K44" s="83">
        <f t="shared" si="17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8">+D45+E44</f>
        <v>7739450</v>
      </c>
      <c r="F45" s="86">
        <f t="shared" si="18"/>
        <v>8236568</v>
      </c>
      <c r="G45" s="86">
        <f>+F45+G44</f>
        <v>7588122.0159999998</v>
      </c>
      <c r="H45" s="86">
        <f>G45+H44</f>
        <v>7031202.0159999998</v>
      </c>
      <c r="I45" s="86">
        <f>H45+I44</f>
        <v>6027914.0159999998</v>
      </c>
      <c r="J45" s="86">
        <f t="shared" ref="J45:K45" si="19">I45+J44</f>
        <v>5027924.0159999998</v>
      </c>
      <c r="K45" s="86">
        <f t="shared" si="19"/>
        <v>4027934.0159999998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20">+D46+E39</f>
        <v>376</v>
      </c>
      <c r="F46" s="19">
        <f t="shared" si="20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1">+E45/E46/1000</f>
        <v>20.583643617021277</v>
      </c>
      <c r="F47" s="20">
        <f t="shared" si="21"/>
        <v>20.591419999999999</v>
      </c>
      <c r="G47" s="44">
        <f>+G45/G46/1000</f>
        <v>18.97030504</v>
      </c>
      <c r="H47" s="44">
        <f>H45/H46/1000</f>
        <v>17.578005040000001</v>
      </c>
      <c r="I47" s="44">
        <f t="shared" ref="I47:K47" si="22">I45/I46/1000</f>
        <v>15.069785039999999</v>
      </c>
      <c r="J47" s="44">
        <f t="shared" si="22"/>
        <v>12.56981004</v>
      </c>
      <c r="K47" s="44">
        <f t="shared" si="22"/>
        <v>10.069835039999999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1.3923000000000001</v>
      </c>
      <c r="I49" s="100">
        <v>2.5082450000000001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7" t="s">
        <v>33</v>
      </c>
      <c r="B52" s="438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3">ROUNDDOWN(+D55*D56*1000,0)</f>
        <v>605000</v>
      </c>
      <c r="E57" s="80">
        <f t="shared" si="23"/>
        <v>602000</v>
      </c>
      <c r="F57" s="80">
        <f t="shared" si="23"/>
        <v>339500</v>
      </c>
      <c r="G57" s="80">
        <f t="shared" ref="G57" si="24">+G55*G56*1000</f>
        <v>-1000000</v>
      </c>
      <c r="H57" s="80">
        <f t="shared" ref="H57" si="25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6">ROUNDDOWN(+D57*0.001425*0.45,0)</f>
        <v>387</v>
      </c>
      <c r="E58" s="33">
        <f t="shared" si="26"/>
        <v>386</v>
      </c>
      <c r="F58" s="33">
        <f t="shared" si="26"/>
        <v>217</v>
      </c>
      <c r="G58" s="33"/>
      <c r="H58" s="33"/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7">+C57+C58</f>
        <v>1525977</v>
      </c>
      <c r="D61" s="83">
        <f t="shared" si="27"/>
        <v>605387</v>
      </c>
      <c r="E61" s="83">
        <f t="shared" si="27"/>
        <v>602386</v>
      </c>
      <c r="F61" s="83">
        <f t="shared" si="27"/>
        <v>339717</v>
      </c>
      <c r="G61" s="83">
        <f>+G57+G58+10</f>
        <v>-999990</v>
      </c>
      <c r="H61" s="83">
        <f>+H57+H58+10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5553911.0159999998</v>
      </c>
      <c r="D62" s="87">
        <f>C62+D61</f>
        <v>6159298.0159999998</v>
      </c>
      <c r="E62" s="87">
        <f t="shared" ref="E62:H62" si="28">D62+E61</f>
        <v>6761684.0159999998</v>
      </c>
      <c r="F62" s="87">
        <f t="shared" si="28"/>
        <v>7101401.0159999998</v>
      </c>
      <c r="G62" s="87">
        <f t="shared" si="28"/>
        <v>6101411.0159999998</v>
      </c>
      <c r="H62" s="94">
        <f t="shared" si="28"/>
        <v>4901421.0159999998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9">D63+E56</f>
        <v>490</v>
      </c>
      <c r="F63" s="26">
        <f t="shared" si="29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30">+C62/C63/1000</f>
        <v>12.342024479999999</v>
      </c>
      <c r="D64" s="20">
        <f t="shared" si="30"/>
        <v>13.10488939574468</v>
      </c>
      <c r="E64" s="20">
        <f t="shared" si="30"/>
        <v>13.799355134693876</v>
      </c>
      <c r="F64" s="20">
        <f t="shared" si="30"/>
        <v>14.202802031999999</v>
      </c>
      <c r="G64" s="20">
        <f t="shared" si="30"/>
        <v>15.253527539999999</v>
      </c>
      <c r="H64" s="20">
        <f t="shared" ref="H64" si="31">+H62/H63/1000</f>
        <v>12.253552539999999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0" zoomScale="85" zoomScaleNormal="100" zoomScaleSheetLayoutView="85" workbookViewId="0">
      <selection activeCell="C74" sqref="C74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 ht="17.100000000000001" customHeight="1">
      <c r="A1" s="437" t="s">
        <v>32</v>
      </c>
      <c r="B1" s="438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 t="s">
        <v>32</v>
      </c>
      <c r="B18" s="438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7" t="s">
        <v>32</v>
      </c>
      <c r="B35" s="438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7" t="s">
        <v>32</v>
      </c>
      <c r="B52" s="438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7" t="s">
        <v>32</v>
      </c>
      <c r="B69" s="438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6.8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6.8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13" zoomScale="115" zoomScaleNormal="115" workbookViewId="0">
      <selection activeCell="G30" sqref="G30"/>
    </sheetView>
  </sheetViews>
  <sheetFormatPr defaultRowHeight="16.2"/>
  <cols>
    <col min="1" max="1" width="4.44140625" style="28" customWidth="1"/>
    <col min="2" max="2" width="8" customWidth="1"/>
    <col min="3" max="6" width="11.77734375" customWidth="1"/>
    <col min="7" max="7" width="12.33203125" customWidth="1"/>
    <col min="8" max="12" width="11.77734375" customWidth="1"/>
  </cols>
  <sheetData>
    <row r="1" spans="1:12">
      <c r="A1" s="439" t="s">
        <v>331</v>
      </c>
      <c r="B1" s="440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6.8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+C6*0.001425*0.45</f>
        <v>959.95124999999996</v>
      </c>
      <c r="D7" s="33">
        <f t="shared" ref="D7:J7" si="1">+D6*0.001425*0.45</f>
        <v>958.02750000000015</v>
      </c>
      <c r="E7" s="33">
        <f t="shared" si="1"/>
        <v>1274.8050000000001</v>
      </c>
      <c r="F7" s="33">
        <f t="shared" si="1"/>
        <v>630.99</v>
      </c>
      <c r="G7" s="33">
        <f t="shared" si="1"/>
        <v>622.01250000000005</v>
      </c>
      <c r="H7" s="33">
        <f t="shared" si="1"/>
        <v>616.88250000000005</v>
      </c>
      <c r="I7" s="33">
        <f t="shared" si="1"/>
        <v>619.44749999999999</v>
      </c>
      <c r="J7" s="33">
        <f t="shared" si="1"/>
        <v>618.16500000000008</v>
      </c>
      <c r="K7" s="33">
        <v>0</v>
      </c>
      <c r="L7" s="33">
        <f t="shared" ref="L7" si="2">+L6*0.001425*0.45</f>
        <v>321.90750000000003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1497959.9512499999</v>
      </c>
      <c r="D10" s="83">
        <f t="shared" ref="D10:L10" si="3">+D6+D7</f>
        <v>1494958.0275000001</v>
      </c>
      <c r="E10" s="83">
        <f t="shared" si="3"/>
        <v>1989274.8049999999</v>
      </c>
      <c r="F10" s="83">
        <f t="shared" si="3"/>
        <v>984630.99</v>
      </c>
      <c r="G10" s="83">
        <f t="shared" si="3"/>
        <v>970622.01249999995</v>
      </c>
      <c r="H10" s="83">
        <f t="shared" si="3"/>
        <v>962616.88249999995</v>
      </c>
      <c r="I10" s="83">
        <f t="shared" si="3"/>
        <v>966619.44750000001</v>
      </c>
      <c r="J10" s="83">
        <f t="shared" si="3"/>
        <v>964618.16500000004</v>
      </c>
      <c r="K10" s="83">
        <f t="shared" si="3"/>
        <v>336240</v>
      </c>
      <c r="L10" s="83">
        <f t="shared" si="3"/>
        <v>502321.90749999997</v>
      </c>
    </row>
    <row r="11" spans="1:12">
      <c r="A11" s="98" t="s">
        <v>19</v>
      </c>
      <c r="B11" s="99" t="s">
        <v>20</v>
      </c>
      <c r="C11" s="86">
        <f>+C10</f>
        <v>1497959.9512499999</v>
      </c>
      <c r="D11" s="86">
        <f>+C11+D10</f>
        <v>2992917.9787499998</v>
      </c>
      <c r="E11" s="86">
        <f t="shared" ref="E11:L11" si="4">+D11+E10</f>
        <v>4982192.7837499995</v>
      </c>
      <c r="F11" s="86">
        <f t="shared" si="4"/>
        <v>5966823.7737499997</v>
      </c>
      <c r="G11" s="86">
        <f t="shared" si="4"/>
        <v>6937445.7862499999</v>
      </c>
      <c r="H11" s="86">
        <f t="shared" si="4"/>
        <v>7900062.6687500002</v>
      </c>
      <c r="I11" s="86">
        <f t="shared" si="4"/>
        <v>8866682.1162500009</v>
      </c>
      <c r="J11" s="86">
        <f t="shared" si="4"/>
        <v>9831300.28125</v>
      </c>
      <c r="K11" s="86">
        <f t="shared" si="4"/>
        <v>10167540.28125</v>
      </c>
      <c r="L11" s="86">
        <f t="shared" si="4"/>
        <v>10669862.188750001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5">+D12+E5</f>
        <v>200</v>
      </c>
      <c r="F12" s="19">
        <f t="shared" si="5"/>
        <v>240</v>
      </c>
      <c r="G12" s="19">
        <f t="shared" si="5"/>
        <v>280</v>
      </c>
      <c r="H12" s="19">
        <f t="shared" si="5"/>
        <v>320</v>
      </c>
      <c r="I12" s="19">
        <f>I5+H12</f>
        <v>360</v>
      </c>
      <c r="J12" s="19">
        <f t="shared" ref="J12:K12" si="6">J5+I12</f>
        <v>400</v>
      </c>
      <c r="K12" s="36">
        <f t="shared" si="6"/>
        <v>416.81200000000001</v>
      </c>
      <c r="L12" s="36">
        <f t="shared" ref="L12" si="7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24.965999187499996</v>
      </c>
      <c r="D13" s="20">
        <f t="shared" ref="D13:L13" si="8">+D11/D12/1000</f>
        <v>24.940983156249995</v>
      </c>
      <c r="E13" s="20">
        <f t="shared" si="8"/>
        <v>24.910963918749996</v>
      </c>
      <c r="F13" s="20">
        <f t="shared" si="8"/>
        <v>24.861765723958332</v>
      </c>
      <c r="G13" s="20">
        <f t="shared" si="8"/>
        <v>24.776592093750001</v>
      </c>
      <c r="H13" s="20">
        <f t="shared" si="8"/>
        <v>24.687695839843748</v>
      </c>
      <c r="I13" s="20">
        <f t="shared" si="8"/>
        <v>24.629672545138892</v>
      </c>
      <c r="J13" s="20">
        <f t="shared" si="8"/>
        <v>24.578250703125001</v>
      </c>
      <c r="K13" s="34">
        <f t="shared" si="8"/>
        <v>24.393588191438827</v>
      </c>
      <c r="L13" s="34">
        <f t="shared" si="8"/>
        <v>24.426669113371428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331</v>
      </c>
      <c r="B18" s="440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6.8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9">+D21*D22*1000</f>
        <v>778500</v>
      </c>
      <c r="E23" s="80">
        <f t="shared" si="9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333.45</v>
      </c>
      <c r="D24" s="33">
        <f t="shared" ref="D24:E24" si="10">+D23*0.001425*0.45</f>
        <v>499.21312499999999</v>
      </c>
      <c r="E24" s="33">
        <f t="shared" si="10"/>
        <v>165.12187500000002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+C23+C24</f>
        <v>520333.45</v>
      </c>
      <c r="D27" s="83">
        <f t="shared" ref="D27:F27" si="11">+D23+D24</f>
        <v>778999.21312500001</v>
      </c>
      <c r="E27" s="83">
        <f t="shared" si="11"/>
        <v>257665.12187500001</v>
      </c>
      <c r="F27" s="83">
        <f t="shared" si="11"/>
        <v>-94080.192800000004</v>
      </c>
      <c r="G27" s="83">
        <f t="shared" ref="G27" si="12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11190195.63875</v>
      </c>
      <c r="D28" s="86">
        <f>D27+C28</f>
        <v>11969194.851875</v>
      </c>
      <c r="E28" s="86">
        <f t="shared" ref="E28:G28" si="13">E27+D28</f>
        <v>12226859.973749999</v>
      </c>
      <c r="F28" s="86">
        <f t="shared" si="13"/>
        <v>12132779.780949999</v>
      </c>
      <c r="G28" s="87">
        <f t="shared" si="13"/>
        <v>11514035.780949999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24.496282143967321</v>
      </c>
      <c r="D30" s="20">
        <f t="shared" ref="D30:G30" si="14">+D28/D29/1000</f>
        <v>24.586893609596721</v>
      </c>
      <c r="E30" s="20">
        <f t="shared" si="14"/>
        <v>24.610637371379916</v>
      </c>
      <c r="F30" s="20">
        <f t="shared" si="14"/>
        <v>23.530057038975695</v>
      </c>
      <c r="G30" s="44">
        <f t="shared" si="14"/>
        <v>21.891549859399419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topLeftCell="A39" zoomScale="115" zoomScaleNormal="115" workbookViewId="0">
      <selection activeCell="H47" sqref="H47"/>
    </sheetView>
  </sheetViews>
  <sheetFormatPr defaultRowHeight="16.2"/>
  <cols>
    <col min="1" max="1" width="4.44140625" style="28" customWidth="1"/>
    <col min="2" max="2" width="8" customWidth="1"/>
    <col min="3" max="6" width="11.77734375" customWidth="1"/>
    <col min="7" max="7" width="12.33203125" customWidth="1"/>
    <col min="8" max="12" width="11.77734375" customWidth="1"/>
  </cols>
  <sheetData>
    <row r="1" spans="1:12">
      <c r="A1" s="437" t="s">
        <v>129</v>
      </c>
      <c r="B1" s="438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-0.56549000000000005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6.8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-230899.74582000001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+C6*0.001425*0.45</f>
        <v>1795.5</v>
      </c>
      <c r="D7" s="33">
        <f t="shared" ref="D7:E7" si="2">+D6*0.001425*0.45</f>
        <v>897.75</v>
      </c>
      <c r="E7" s="33">
        <f t="shared" si="2"/>
        <v>894.54375000000005</v>
      </c>
      <c r="F7" s="31"/>
      <c r="G7" s="31"/>
      <c r="H7" s="31">
        <v>251</v>
      </c>
      <c r="I7" s="31">
        <v>252</v>
      </c>
      <c r="J7" s="31">
        <v>253</v>
      </c>
      <c r="K7" s="31">
        <v>229</v>
      </c>
      <c r="L7" s="31"/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>
        <v>1175</v>
      </c>
      <c r="I8" s="31">
        <v>1179</v>
      </c>
      <c r="J8" s="31">
        <v>1184</v>
      </c>
      <c r="K8" s="31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2801795.5</v>
      </c>
      <c r="D10" s="83">
        <f t="shared" ref="D10" si="3">+D6+D7</f>
        <v>1400897.75</v>
      </c>
      <c r="E10" s="83">
        <f>+E6+E7</f>
        <v>1395894.54375</v>
      </c>
      <c r="F10" s="83">
        <f>SUM(F6:F9)</f>
        <v>-203340</v>
      </c>
      <c r="G10" s="83">
        <f>SUM(G6:G9)</f>
        <v>-230899.74582000001</v>
      </c>
      <c r="H10" s="83">
        <f>+H6+H7+H8</f>
        <v>-390074</v>
      </c>
      <c r="I10" s="83">
        <f>+I6+I7+I8</f>
        <v>-391569</v>
      </c>
      <c r="J10" s="83">
        <f>+J6+J7+J8</f>
        <v>-393063</v>
      </c>
      <c r="K10" s="83">
        <f>+K6+K7+K8</f>
        <v>-355102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2801795.5</v>
      </c>
      <c r="D11" s="77">
        <f>+C11+D10</f>
        <v>4202693.25</v>
      </c>
      <c r="E11" s="77">
        <f>+D11+E10</f>
        <v>5598587.7937500002</v>
      </c>
      <c r="F11" s="77">
        <f>+E11+F10</f>
        <v>5395247.7937500002</v>
      </c>
      <c r="G11" s="77">
        <f>F11+G10</f>
        <v>5164348.0479300003</v>
      </c>
      <c r="H11" s="77">
        <f>+G11+H10</f>
        <v>4774274.0479300003</v>
      </c>
      <c r="I11" s="77">
        <f>+H11+I10</f>
        <v>4382705.0479300003</v>
      </c>
      <c r="J11" s="77">
        <f>+I11+J10-1</f>
        <v>3989641.0479300003</v>
      </c>
      <c r="K11" s="77">
        <f>+J11+K10</f>
        <v>3634539.0479300003</v>
      </c>
      <c r="L11" s="77">
        <f>+K11+L10</f>
        <v>3467551.0479300003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14.0089775</v>
      </c>
      <c r="D13" s="20">
        <f t="shared" ref="D13:H13" si="4">+D11/D12/1000</f>
        <v>14.0089775</v>
      </c>
      <c r="E13" s="20">
        <f t="shared" si="4"/>
        <v>13.996469484375</v>
      </c>
      <c r="F13" s="44">
        <f t="shared" si="4"/>
        <v>13.213334970331976</v>
      </c>
      <c r="G13" s="45">
        <f>G11/G12/1000</f>
        <v>12.361879431903407</v>
      </c>
      <c r="H13" s="20">
        <f t="shared" si="4"/>
        <v>12.312319344715036</v>
      </c>
      <c r="I13" s="20">
        <f t="shared" ref="I13:K13" si="5">+I11/I12/1000</f>
        <v>12.250268885706323</v>
      </c>
      <c r="J13" s="20">
        <f t="shared" si="5"/>
        <v>12.172298350865416</v>
      </c>
      <c r="K13" s="20">
        <f t="shared" si="5"/>
        <v>12.08435582582494</v>
      </c>
      <c r="L13" s="45">
        <f t="shared" ref="L13" si="6">+L11/L12/1000</f>
        <v>11.028194385737823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90</v>
      </c>
      <c r="B18" s="438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6.8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4413157.0291800005</v>
      </c>
      <c r="D28" s="87">
        <f>D27+C28</f>
        <v>5356261.4073050003</v>
      </c>
      <c r="E28" s="87">
        <f t="shared" ref="E28:K28" si="10">E27+D28</f>
        <v>6487986.6610550005</v>
      </c>
      <c r="F28" s="87">
        <f t="shared" si="10"/>
        <v>7804830.5460550003</v>
      </c>
      <c r="G28" s="87">
        <f t="shared" si="10"/>
        <v>8930551.9523050003</v>
      </c>
      <c r="H28" s="87">
        <f t="shared" si="10"/>
        <v>9488909.7698050011</v>
      </c>
      <c r="I28" s="87">
        <f t="shared" si="10"/>
        <v>10047267.587305002</v>
      </c>
      <c r="J28" s="87">
        <f t="shared" si="10"/>
        <v>10602623.481055003</v>
      </c>
      <c r="K28" s="86">
        <f t="shared" si="10"/>
        <v>10182511.481055003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12.109885214501713</v>
      </c>
      <c r="D30" s="35">
        <f t="shared" ref="D30:K30" si="12">+D28/D29/1000</f>
        <v>12.924530331844528</v>
      </c>
      <c r="E30" s="35">
        <f t="shared" si="12"/>
        <v>13.675444982051996</v>
      </c>
      <c r="F30" s="35">
        <f t="shared" si="12"/>
        <v>14.33588870857564</v>
      </c>
      <c r="G30" s="35">
        <f t="shared" si="12"/>
        <v>14.775261077956609</v>
      </c>
      <c r="H30" s="35">
        <f t="shared" si="12"/>
        <v>14.956684892808621</v>
      </c>
      <c r="I30" s="35">
        <f t="shared" si="12"/>
        <v>15.12172550036423</v>
      </c>
      <c r="J30" s="35">
        <f t="shared" si="12"/>
        <v>15.268183335668601</v>
      </c>
      <c r="K30" s="68">
        <f t="shared" si="12"/>
        <v>13.971611231510463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7" t="s">
        <v>129</v>
      </c>
      <c r="B35" s="438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6.8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6.8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10345616.004805002</v>
      </c>
      <c r="D45" s="86">
        <f>+C45+D44</f>
        <v>10670824.411055002</v>
      </c>
      <c r="E45" s="86">
        <f>+D45+E44</f>
        <v>11157136.058555003</v>
      </c>
      <c r="F45" s="86">
        <f>+E45+F44</f>
        <v>12126757.429805003</v>
      </c>
      <c r="G45" s="86">
        <f>F45+G44</f>
        <v>11693869.385435004</v>
      </c>
      <c r="H45" s="86">
        <f>G45+H44</f>
        <v>11163209.571042605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14.003268525339253</v>
      </c>
      <c r="D47" s="20">
        <f t="shared" ref="D47:F47" si="17">+D45/D46/1000</f>
        <v>14.062761185549261</v>
      </c>
      <c r="E47" s="20">
        <f t="shared" si="17"/>
        <v>14.144440704853782</v>
      </c>
      <c r="F47" s="44">
        <f t="shared" si="17"/>
        <v>14.286941784685519</v>
      </c>
      <c r="G47" s="45">
        <f>G45/G46/1000</f>
        <v>13.221633190677084</v>
      </c>
      <c r="H47" s="44">
        <f>H45/H46/1000</f>
        <v>12.136218775118994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90</v>
      </c>
      <c r="B52" s="438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6.8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6.8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zoomScale="115" zoomScaleNormal="115" workbookViewId="0">
      <selection activeCell="F59" sqref="F59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7" t="s">
        <v>263</v>
      </c>
      <c r="B1" s="438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6.8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+C6*0.001425*0.45</f>
        <v>41.456812500000005</v>
      </c>
      <c r="D7" s="33">
        <f t="shared" ref="D7:L7" si="1">+D6*0.001425*0.45</f>
        <v>68.613749999999996</v>
      </c>
      <c r="E7" s="33">
        <f t="shared" si="1"/>
        <v>97.630312500000002</v>
      </c>
      <c r="F7" s="33">
        <f t="shared" si="1"/>
        <v>281.50875000000002</v>
      </c>
      <c r="G7" s="33">
        <f t="shared" si="1"/>
        <v>71.339062499999997</v>
      </c>
      <c r="H7" s="33">
        <f t="shared" si="1"/>
        <v>71.178750000000008</v>
      </c>
      <c r="I7" s="33">
        <f t="shared" si="1"/>
        <v>71.178750000000008</v>
      </c>
      <c r="J7" s="33">
        <f t="shared" si="1"/>
        <v>142.03687500000001</v>
      </c>
      <c r="K7" s="33">
        <f t="shared" si="1"/>
        <v>141.71625</v>
      </c>
      <c r="L7" s="33">
        <f t="shared" si="1"/>
        <v>142.03687500000001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6.8" thickBot="1">
      <c r="A10" s="81" t="s">
        <v>17</v>
      </c>
      <c r="B10" s="82" t="s">
        <v>18</v>
      </c>
      <c r="C10" s="83">
        <f>SUM(C6:C9)</f>
        <v>64691.456812500008</v>
      </c>
      <c r="D10" s="83">
        <f t="shared" ref="D10:L10" si="2">SUM(D6:D9)</f>
        <v>107068.61375</v>
      </c>
      <c r="E10" s="83">
        <f t="shared" si="2"/>
        <v>152347.6303125</v>
      </c>
      <c r="F10" s="83">
        <f t="shared" si="2"/>
        <v>439281.50874999998</v>
      </c>
      <c r="G10" s="83">
        <f t="shared" si="2"/>
        <v>111321.3390625</v>
      </c>
      <c r="H10" s="83">
        <f t="shared" si="2"/>
        <v>111071.17875000001</v>
      </c>
      <c r="I10" s="83">
        <f t="shared" si="2"/>
        <v>111071.17875000001</v>
      </c>
      <c r="J10" s="83">
        <f t="shared" si="2"/>
        <v>221642.03687499999</v>
      </c>
      <c r="K10" s="83">
        <f t="shared" si="2"/>
        <v>221141.71625</v>
      </c>
      <c r="L10" s="83">
        <f t="shared" si="2"/>
        <v>221642.03687499999</v>
      </c>
    </row>
    <row r="11" spans="1:12">
      <c r="A11" s="75" t="s">
        <v>19</v>
      </c>
      <c r="B11" s="76" t="s">
        <v>20</v>
      </c>
      <c r="C11" s="77">
        <f>C10</f>
        <v>64691.456812500008</v>
      </c>
      <c r="D11" s="77">
        <f>C11+D10</f>
        <v>171760.07056250001</v>
      </c>
      <c r="E11" s="77">
        <f t="shared" ref="E11:L11" si="3">D11+E10</f>
        <v>324107.70087499998</v>
      </c>
      <c r="F11" s="77">
        <f t="shared" si="3"/>
        <v>763389.2096249999</v>
      </c>
      <c r="G11" s="77">
        <f t="shared" si="3"/>
        <v>874710.54868749995</v>
      </c>
      <c r="H11" s="77">
        <f t="shared" si="3"/>
        <v>985781.72743749991</v>
      </c>
      <c r="I11" s="77">
        <f t="shared" si="3"/>
        <v>1096852.9061874999</v>
      </c>
      <c r="J11" s="77">
        <f t="shared" si="3"/>
        <v>1318494.9430624999</v>
      </c>
      <c r="K11" s="77">
        <f t="shared" si="3"/>
        <v>1539636.6593124999</v>
      </c>
      <c r="L11" s="77">
        <f t="shared" si="3"/>
        <v>1761278.6961874999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21.563818937500002</v>
      </c>
      <c r="D13" s="20">
        <f t="shared" ref="D13:L13" si="5">+D11/D12/1000</f>
        <v>21.470008820312501</v>
      </c>
      <c r="E13" s="20">
        <f t="shared" si="5"/>
        <v>21.607180058333331</v>
      </c>
      <c r="F13" s="20">
        <f t="shared" si="5"/>
        <v>21.811120274999997</v>
      </c>
      <c r="G13" s="20">
        <f t="shared" si="5"/>
        <v>21.867763717187501</v>
      </c>
      <c r="H13" s="20">
        <f t="shared" si="5"/>
        <v>21.906260609722221</v>
      </c>
      <c r="I13" s="20">
        <f t="shared" si="5"/>
        <v>21.937058123749999</v>
      </c>
      <c r="J13" s="20">
        <f t="shared" si="5"/>
        <v>21.974915717708331</v>
      </c>
      <c r="K13" s="20">
        <f t="shared" si="5"/>
        <v>21.994809418749998</v>
      </c>
      <c r="L13" s="20">
        <f t="shared" si="5"/>
        <v>22.01598370234375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263</v>
      </c>
      <c r="B18" s="438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6.8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+C23*0.001425*0.45</f>
        <v>141.71625</v>
      </c>
      <c r="D24" s="33">
        <f t="shared" ref="D24:K24" si="7">+D23*0.001425*0.45</f>
        <v>141.39562500000002</v>
      </c>
      <c r="E24" s="33">
        <f t="shared" si="7"/>
        <v>141.39562500000002</v>
      </c>
      <c r="F24" s="33">
        <f t="shared" si="7"/>
        <v>141.07500000000002</v>
      </c>
      <c r="G24" s="33">
        <f t="shared" si="7"/>
        <v>140.75437500000001</v>
      </c>
      <c r="H24" s="33">
        <f t="shared" si="7"/>
        <v>140.75437500000001</v>
      </c>
      <c r="I24" s="33">
        <f t="shared" si="7"/>
        <v>140.43375</v>
      </c>
      <c r="J24" s="33">
        <f t="shared" si="7"/>
        <v>140.43375</v>
      </c>
      <c r="K24" s="33">
        <f t="shared" si="7"/>
        <v>28.150875000000003</v>
      </c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SUM(C23:C26)</f>
        <v>221141.71625</v>
      </c>
      <c r="D27" s="83">
        <f t="shared" ref="D27:L27" si="8">SUM(D23:D26)</f>
        <v>220641.395625</v>
      </c>
      <c r="E27" s="83">
        <f t="shared" si="8"/>
        <v>220641.395625</v>
      </c>
      <c r="F27" s="83">
        <f t="shared" si="8"/>
        <v>220141.07500000001</v>
      </c>
      <c r="G27" s="83">
        <f t="shared" si="8"/>
        <v>219640.75437499999</v>
      </c>
      <c r="H27" s="83">
        <f t="shared" si="8"/>
        <v>219640.75437499999</v>
      </c>
      <c r="I27" s="83">
        <f t="shared" si="8"/>
        <v>219140.43375</v>
      </c>
      <c r="J27" s="83">
        <f t="shared" si="8"/>
        <v>219140.43375</v>
      </c>
      <c r="K27" s="83">
        <f t="shared" si="8"/>
        <v>43928.150874999999</v>
      </c>
      <c r="L27" s="83">
        <f t="shared" si="8"/>
        <v>-298967.24159999995</v>
      </c>
    </row>
    <row r="28" spans="1:12">
      <c r="A28" s="75" t="s">
        <v>19</v>
      </c>
      <c r="B28" s="76" t="s">
        <v>20</v>
      </c>
      <c r="C28" s="77">
        <f>C27+L11</f>
        <v>1982420.4124375</v>
      </c>
      <c r="D28" s="77">
        <f>D27+C28</f>
        <v>2203061.8080624999</v>
      </c>
      <c r="E28" s="77">
        <f t="shared" ref="E28:L28" si="9">E27+D28</f>
        <v>2423703.2036874997</v>
      </c>
      <c r="F28" s="77">
        <f t="shared" si="9"/>
        <v>2643844.2786874999</v>
      </c>
      <c r="G28" s="77">
        <f t="shared" si="9"/>
        <v>2863485.0330624999</v>
      </c>
      <c r="H28" s="77">
        <f t="shared" si="9"/>
        <v>3083125.7874375</v>
      </c>
      <c r="I28" s="77">
        <f t="shared" si="9"/>
        <v>3302266.2211874998</v>
      </c>
      <c r="J28" s="77">
        <f t="shared" si="9"/>
        <v>3521406.6549374997</v>
      </c>
      <c r="K28" s="77">
        <f t="shared" si="9"/>
        <v>3565334.8058124995</v>
      </c>
      <c r="L28" s="77">
        <f t="shared" si="9"/>
        <v>3266367.5642124997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22.026893471527778</v>
      </c>
      <c r="D30" s="35">
        <f t="shared" ref="D30:L30" si="11">+D28/D29/1000</f>
        <v>22.030618080624997</v>
      </c>
      <c r="E30" s="35">
        <f t="shared" si="11"/>
        <v>22.033665488068177</v>
      </c>
      <c r="F30" s="35">
        <f t="shared" si="11"/>
        <v>22.032035655729167</v>
      </c>
      <c r="G30" s="35">
        <f t="shared" si="11"/>
        <v>22.026807946634612</v>
      </c>
      <c r="H30" s="35">
        <f t="shared" si="11"/>
        <v>22.022327053124997</v>
      </c>
      <c r="I30" s="35">
        <f t="shared" si="11"/>
        <v>22.01510814125</v>
      </c>
      <c r="J30" s="35">
        <f t="shared" si="11"/>
        <v>22.008791593359373</v>
      </c>
      <c r="K30" s="35">
        <f t="shared" si="11"/>
        <v>22.008239542052465</v>
      </c>
      <c r="L30" s="35">
        <f t="shared" si="11"/>
        <v>20.162762742052465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7" t="s">
        <v>263</v>
      </c>
      <c r="B35" s="438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-2.4931999999999999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6.8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 t="shared" si="12"/>
        <v>-361513.99999999994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/>
      <c r="D41" s="33">
        <f>-+D40*0.001425*0.45</f>
        <v>150.37312500000002</v>
      </c>
      <c r="E41" s="33">
        <f t="shared" ref="E41:F41" si="15">-+E40*0.001425*0.45</f>
        <v>111.57750000000001</v>
      </c>
      <c r="F41" s="33">
        <f t="shared" si="15"/>
        <v>115.425</v>
      </c>
      <c r="G41" s="33"/>
      <c r="H41" s="33">
        <f t="shared" ref="H41" si="16">-+H40*0.001425*0.45</f>
        <v>250.72875000000005</v>
      </c>
      <c r="I41" s="33">
        <f t="shared" ref="I41:L41" si="17">-+I40*0.001425*0.45</f>
        <v>50.786999999999999</v>
      </c>
      <c r="J41" s="33">
        <f t="shared" si="17"/>
        <v>51.043500000000002</v>
      </c>
      <c r="K41" s="33">
        <f t="shared" si="17"/>
        <v>51.556500000000007</v>
      </c>
      <c r="L41" s="33">
        <f t="shared" si="17"/>
        <v>77.911875000000009</v>
      </c>
    </row>
    <row r="42" spans="1:12">
      <c r="A42" s="32" t="s">
        <v>13</v>
      </c>
      <c r="B42" s="61" t="s">
        <v>14</v>
      </c>
      <c r="C42" s="33"/>
      <c r="D42" s="33">
        <f>-ROUNDDOWN(D40*3/1000,0)+1</f>
        <v>704</v>
      </c>
      <c r="E42" s="33">
        <f t="shared" ref="E42:F42" si="18">-ROUNDDOWN(E40*3/1000,0)</f>
        <v>522</v>
      </c>
      <c r="F42" s="33">
        <f t="shared" si="18"/>
        <v>540</v>
      </c>
      <c r="G42" s="33"/>
      <c r="H42" s="33">
        <f t="shared" ref="H42" si="19">-ROUNDDOWN(H40*3/1000,0)</f>
        <v>1173</v>
      </c>
      <c r="I42" s="33">
        <f t="shared" ref="I42:L42" si="20">-ROUNDDOWN(I40*3/1000,0)</f>
        <v>237</v>
      </c>
      <c r="J42" s="33">
        <f t="shared" si="20"/>
        <v>238</v>
      </c>
      <c r="K42" s="33">
        <f t="shared" si="20"/>
        <v>241</v>
      </c>
      <c r="L42" s="33">
        <f t="shared" si="20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6.8" thickBot="1">
      <c r="A44" s="81" t="s">
        <v>17</v>
      </c>
      <c r="B44" s="82" t="s">
        <v>18</v>
      </c>
      <c r="C44" s="83">
        <v>-298967.24159999995</v>
      </c>
      <c r="D44" s="83">
        <f>SUM(D40:D43)</f>
        <v>-233645.62687499999</v>
      </c>
      <c r="E44" s="83">
        <f t="shared" ref="E44:G44" si="21">SUM(E40:E43)</f>
        <v>-173366.42249999999</v>
      </c>
      <c r="F44" s="83">
        <f t="shared" si="21"/>
        <v>-179344.57500000001</v>
      </c>
      <c r="G44" s="83">
        <f t="shared" si="21"/>
        <v>-361513.99999999994</v>
      </c>
      <c r="H44" s="83">
        <f t="shared" ref="H44" si="22">SUM(H40:H43)</f>
        <v>-389576.27124999999</v>
      </c>
      <c r="I44" s="83">
        <f t="shared" ref="I44:L44" si="23">SUM(I40:I43)</f>
        <v>-78912.213000000003</v>
      </c>
      <c r="J44" s="83">
        <f t="shared" si="23"/>
        <v>-79310.9565</v>
      </c>
      <c r="K44" s="83">
        <f t="shared" si="23"/>
        <v>-80107.443499999994</v>
      </c>
      <c r="L44" s="83">
        <f t="shared" si="23"/>
        <v>-121058.08812499999</v>
      </c>
    </row>
    <row r="45" spans="1:12">
      <c r="A45" s="75" t="s">
        <v>19</v>
      </c>
      <c r="B45" s="76" t="s">
        <v>20</v>
      </c>
      <c r="C45" s="77">
        <v>3266367.5642124997</v>
      </c>
      <c r="D45" s="77">
        <f>C45+D44</f>
        <v>3032721.9373374996</v>
      </c>
      <c r="E45" s="77">
        <f t="shared" ref="E45:F45" si="24">D45+E44</f>
        <v>2859355.5148374997</v>
      </c>
      <c r="F45" s="77">
        <f t="shared" si="24"/>
        <v>2680010.9398374995</v>
      </c>
      <c r="G45" s="77">
        <f>F45+G44</f>
        <v>2318496.9398374995</v>
      </c>
      <c r="H45" s="77">
        <f>G45+H44</f>
        <v>1928920.6685874995</v>
      </c>
      <c r="I45" s="77">
        <f>H45+I44</f>
        <v>1850008.4555874995</v>
      </c>
      <c r="J45" s="77">
        <f t="shared" ref="J45:L45" si="25">I45+J44</f>
        <v>1770697.4990874995</v>
      </c>
      <c r="K45" s="77">
        <f t="shared" si="25"/>
        <v>1690590.0555874994</v>
      </c>
      <c r="L45" s="77">
        <f t="shared" si="25"/>
        <v>1569531.9674624994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6">I46+J39</f>
        <v>131</v>
      </c>
      <c r="K46" s="19">
        <f t="shared" si="26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20.162762742052465</v>
      </c>
      <c r="D47" s="44">
        <f t="shared" ref="D47" si="27">+D45/D46/1000</f>
        <v>19.565947982822578</v>
      </c>
      <c r="E47" s="44">
        <f t="shared" ref="E47" si="28">+E45/E46/1000</f>
        <v>19.062370098916663</v>
      </c>
      <c r="F47" s="44">
        <f t="shared" ref="F47:G47" si="29">+F45/F46/1000</f>
        <v>18.482834067844827</v>
      </c>
      <c r="G47" s="44">
        <f t="shared" si="29"/>
        <v>15.989634067844825</v>
      </c>
      <c r="H47" s="20">
        <f t="shared" ref="H47" si="30">+H45/H46/1000</f>
        <v>14.288301248796293</v>
      </c>
      <c r="I47" s="34">
        <f t="shared" ref="I47:L47" si="31">+I45/I46/1000</f>
        <v>13.909838011936086</v>
      </c>
      <c r="J47" s="34">
        <f t="shared" si="31"/>
        <v>13.516774802194652</v>
      </c>
      <c r="K47" s="34">
        <f t="shared" si="31"/>
        <v>13.10534926812015</v>
      </c>
      <c r="L47" s="34">
        <f t="shared" si="31"/>
        <v>12.456602916369043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263</v>
      </c>
      <c r="B52" s="438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6.8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2">+C55*C56*1000</f>
        <v>-80200</v>
      </c>
      <c r="D57" s="80">
        <f t="shared" si="32"/>
        <v>-197250</v>
      </c>
      <c r="E57" s="80">
        <f t="shared" si="32"/>
        <v>-201500</v>
      </c>
      <c r="F57" s="80">
        <f t="shared" ref="F57:K57" si="33">+F55*F56*1000</f>
        <v>-40450</v>
      </c>
      <c r="G57" s="80">
        <f t="shared" si="33"/>
        <v>-80900</v>
      </c>
      <c r="H57" s="80">
        <f t="shared" si="33"/>
        <v>-40500</v>
      </c>
      <c r="I57" s="80">
        <f t="shared" si="33"/>
        <v>-40550</v>
      </c>
      <c r="J57" s="80">
        <f t="shared" si="33"/>
        <v>-40650</v>
      </c>
      <c r="K57" s="80">
        <f t="shared" si="33"/>
        <v>-40750</v>
      </c>
      <c r="L57" s="80">
        <f t="shared" ref="L57" si="34">+L55*L56*1000</f>
        <v>-41200</v>
      </c>
    </row>
    <row r="58" spans="1:12">
      <c r="A58" s="32" t="s">
        <v>11</v>
      </c>
      <c r="B58" s="61" t="s">
        <v>12</v>
      </c>
      <c r="C58" s="33">
        <f t="shared" ref="C58:E58" si="35">-+C57*0.001425*0.45</f>
        <v>51.428250000000006</v>
      </c>
      <c r="D58" s="33">
        <f t="shared" si="35"/>
        <v>126.48656250000001</v>
      </c>
      <c r="E58" s="33">
        <f t="shared" si="35"/>
        <v>129.21187499999999</v>
      </c>
      <c r="F58" s="33">
        <f t="shared" ref="F58:K58" si="36">-+F57*0.001425*0.45</f>
        <v>25.9385625</v>
      </c>
      <c r="G58" s="33">
        <f t="shared" si="36"/>
        <v>51.877124999999999</v>
      </c>
      <c r="H58" s="33">
        <f t="shared" si="36"/>
        <v>25.970624999999998</v>
      </c>
      <c r="I58" s="33">
        <f t="shared" si="36"/>
        <v>26.002687500000004</v>
      </c>
      <c r="J58" s="33">
        <f t="shared" si="36"/>
        <v>26.066812500000001</v>
      </c>
      <c r="K58" s="33">
        <f t="shared" si="36"/>
        <v>26.130937500000002</v>
      </c>
      <c r="L58" s="33">
        <f t="shared" ref="L58" si="37">-+L57*0.001425*0.45</f>
        <v>26.419499999999999</v>
      </c>
    </row>
    <row r="59" spans="1:12">
      <c r="A59" s="32" t="s">
        <v>13</v>
      </c>
      <c r="B59" s="61" t="s">
        <v>14</v>
      </c>
      <c r="C59" s="33">
        <f t="shared" ref="C59:E59" si="38">-ROUNDDOWN(C57*3/1000,0)</f>
        <v>240</v>
      </c>
      <c r="D59" s="33">
        <f t="shared" si="38"/>
        <v>591</v>
      </c>
      <c r="E59" s="33">
        <f t="shared" si="38"/>
        <v>604</v>
      </c>
      <c r="F59" s="33">
        <f t="shared" ref="F59:K59" si="39">-ROUNDDOWN(F57*3/1000,0)</f>
        <v>121</v>
      </c>
      <c r="G59" s="33">
        <f t="shared" si="39"/>
        <v>242</v>
      </c>
      <c r="H59" s="33">
        <f t="shared" si="39"/>
        <v>121</v>
      </c>
      <c r="I59" s="33">
        <f t="shared" si="39"/>
        <v>121</v>
      </c>
      <c r="J59" s="33">
        <f t="shared" si="39"/>
        <v>121</v>
      </c>
      <c r="K59" s="33">
        <f t="shared" si="39"/>
        <v>122</v>
      </c>
      <c r="L59" s="33">
        <f t="shared" ref="L59" si="40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6.8" thickBot="1">
      <c r="A61" s="81" t="s">
        <v>17</v>
      </c>
      <c r="B61" s="82" t="s">
        <v>18</v>
      </c>
      <c r="C61" s="83">
        <f t="shared" ref="C61:E61" si="41">SUM(C57:C60)</f>
        <v>-79908.571750000003</v>
      </c>
      <c r="D61" s="83">
        <f t="shared" si="41"/>
        <v>-196532.51343749999</v>
      </c>
      <c r="E61" s="83">
        <f t="shared" si="41"/>
        <v>-200766.78812499999</v>
      </c>
      <c r="F61" s="83">
        <f t="shared" ref="F61:K61" si="42">SUM(F57:F60)</f>
        <v>-40303.0614375</v>
      </c>
      <c r="G61" s="83">
        <f t="shared" si="42"/>
        <v>-80606.122875000001</v>
      </c>
      <c r="H61" s="83">
        <f t="shared" si="42"/>
        <v>-40353.029374999998</v>
      </c>
      <c r="I61" s="83">
        <f t="shared" si="42"/>
        <v>-40402.997312500003</v>
      </c>
      <c r="J61" s="83">
        <f t="shared" si="42"/>
        <v>-40502.933187499999</v>
      </c>
      <c r="K61" s="83">
        <f t="shared" si="42"/>
        <v>-40601.869062500002</v>
      </c>
      <c r="L61" s="83">
        <f t="shared" ref="L61" si="43">SUM(L57:L60)</f>
        <v>-41050.580499999996</v>
      </c>
    </row>
    <row r="62" spans="1:12">
      <c r="A62" s="75" t="s">
        <v>19</v>
      </c>
      <c r="B62" s="76" t="s">
        <v>20</v>
      </c>
      <c r="C62" s="77">
        <f>L45+C61</f>
        <v>1489623.3957124995</v>
      </c>
      <c r="D62" s="77">
        <f>C62+D61</f>
        <v>1293090.8822749995</v>
      </c>
      <c r="E62" s="77">
        <f>D62+E61</f>
        <v>1092324.0941499996</v>
      </c>
      <c r="F62" s="77">
        <f>E62+F61</f>
        <v>1052021.0327124996</v>
      </c>
      <c r="G62" s="77">
        <f t="shared" ref="G62:L62" si="44">F62+G61</f>
        <v>971414.90983749961</v>
      </c>
      <c r="H62" s="77">
        <f t="shared" si="44"/>
        <v>931061.88046249957</v>
      </c>
      <c r="I62" s="77">
        <f t="shared" si="44"/>
        <v>890658.88314999954</v>
      </c>
      <c r="J62" s="77">
        <f t="shared" si="44"/>
        <v>850155.94996249955</v>
      </c>
      <c r="K62" s="77">
        <f t="shared" si="44"/>
        <v>809554.08089999959</v>
      </c>
      <c r="L62" s="77">
        <f t="shared" si="44"/>
        <v>768503.50039999955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5">F63+G56</f>
        <v>111</v>
      </c>
      <c r="H63" s="19">
        <f t="shared" si="45"/>
        <v>110</v>
      </c>
      <c r="I63" s="19">
        <f t="shared" si="45"/>
        <v>109</v>
      </c>
      <c r="J63" s="19">
        <f t="shared" si="45"/>
        <v>108</v>
      </c>
      <c r="K63" s="19">
        <f t="shared" si="45"/>
        <v>107</v>
      </c>
      <c r="L63" s="19">
        <f t="shared" si="45"/>
        <v>106</v>
      </c>
    </row>
    <row r="64" spans="1:12">
      <c r="A64" s="6" t="s">
        <v>23</v>
      </c>
      <c r="B64" s="7" t="s">
        <v>24</v>
      </c>
      <c r="C64" s="34">
        <f t="shared" ref="C64:E64" si="46">+C62/C63/1000</f>
        <v>12.013091900907256</v>
      </c>
      <c r="D64" s="34">
        <f t="shared" si="46"/>
        <v>10.866309935084029</v>
      </c>
      <c r="E64" s="34">
        <f t="shared" si="46"/>
        <v>9.5817902995614013</v>
      </c>
      <c r="F64" s="34">
        <f t="shared" ref="F64:K64" si="47">+F62/F63/1000</f>
        <v>9.3099206434734487</v>
      </c>
      <c r="G64" s="34">
        <f t="shared" si="47"/>
        <v>8.7514856742117075</v>
      </c>
      <c r="H64" s="34">
        <f t="shared" si="47"/>
        <v>8.4641989132954514</v>
      </c>
      <c r="I64" s="34">
        <f t="shared" si="47"/>
        <v>8.1711824142201799</v>
      </c>
      <c r="J64" s="34">
        <f t="shared" si="47"/>
        <v>7.8718143515046259</v>
      </c>
      <c r="K64" s="34">
        <f t="shared" si="47"/>
        <v>7.5659259897196227</v>
      </c>
      <c r="L64" s="34">
        <f t="shared" ref="L64" si="48">+L62/L63/1000</f>
        <v>7.2500330226415057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7" t="s">
        <v>263</v>
      </c>
      <c r="B69" s="438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6.8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9">+C72*C73*1000</f>
        <v>-83200</v>
      </c>
      <c r="D74" s="80">
        <f t="shared" si="49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50">-+C74*0.001425*0.45</f>
        <v>53.352000000000004</v>
      </c>
      <c r="D75" s="33">
        <f t="shared" si="50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51">-ROUNDDOWN(C74*3/1000,0)</f>
        <v>249</v>
      </c>
      <c r="D76" s="33">
        <f t="shared" si="51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6.8" thickBot="1">
      <c r="A78" s="81" t="s">
        <v>17</v>
      </c>
      <c r="B78" s="82" t="s">
        <v>18</v>
      </c>
      <c r="C78" s="83">
        <f t="shared" ref="C78:E78" si="52">SUM(C74:C77)</f>
        <v>-82897.648000000001</v>
      </c>
      <c r="D78" s="83">
        <f t="shared" si="52"/>
        <v>-41648.195749999999</v>
      </c>
      <c r="E78" s="83">
        <f t="shared" si="52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685605.85239999951</v>
      </c>
      <c r="D79" s="94">
        <f>C79+D78</f>
        <v>643957.65664999955</v>
      </c>
      <c r="E79" s="77">
        <f>D79+E78</f>
        <v>431626.65664999955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3">+C79/C80/1000</f>
        <v>6.5923639653846102</v>
      </c>
      <c r="D81" s="20">
        <f t="shared" si="53"/>
        <v>6.2520160839805783</v>
      </c>
      <c r="E81" s="44">
        <f t="shared" si="53"/>
        <v>4.1905500645631024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7" t="s">
        <v>263</v>
      </c>
      <c r="B86" s="438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6.8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4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5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6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6.8" thickBot="1">
      <c r="A95" s="81" t="s">
        <v>17</v>
      </c>
      <c r="B95" s="82" t="s">
        <v>18</v>
      </c>
      <c r="C95" s="83">
        <f t="shared" ref="C95" si="57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F14" sqref="F14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9" t="s">
        <v>350</v>
      </c>
      <c r="B1" s="440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6.8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+C6*0.001425*0.45</f>
        <v>328.32</v>
      </c>
      <c r="D7" s="318">
        <f t="shared" ref="D7:G7" si="1">+D6*0.001425*0.45</f>
        <v>817.59375</v>
      </c>
      <c r="E7" s="318">
        <f t="shared" si="1"/>
        <v>488.63250000000005</v>
      </c>
      <c r="F7" s="318">
        <f t="shared" si="1"/>
        <v>809.578125</v>
      </c>
      <c r="G7" s="41">
        <f t="shared" si="1"/>
        <v>124.08187500000001</v>
      </c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6.8" thickBot="1">
      <c r="A10" s="81" t="s">
        <v>17</v>
      </c>
      <c r="B10" s="82" t="s">
        <v>18</v>
      </c>
      <c r="C10" s="319">
        <f>+C6+C7</f>
        <v>512328.32</v>
      </c>
      <c r="D10" s="319">
        <f t="shared" ref="D10:H10" si="2">+D6+D7</f>
        <v>1275817.59375</v>
      </c>
      <c r="E10" s="319">
        <f t="shared" si="2"/>
        <v>762488.63249999995</v>
      </c>
      <c r="F10" s="319">
        <f t="shared" si="2"/>
        <v>1263309.578125</v>
      </c>
      <c r="G10" s="163">
        <f t="shared" si="2"/>
        <v>193624.081875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350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6.8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zoomScale="115" zoomScaleNormal="115" workbookViewId="0">
      <selection activeCell="F66" sqref="F66"/>
    </sheetView>
  </sheetViews>
  <sheetFormatPr defaultRowHeight="16.2"/>
  <cols>
    <col min="1" max="1" width="4.44140625" style="28" customWidth="1"/>
    <col min="2" max="2" width="8" customWidth="1"/>
    <col min="3" max="3" width="12.33203125" customWidth="1"/>
    <col min="4" max="4" width="12.44140625" customWidth="1"/>
    <col min="5" max="9" width="12.21875" customWidth="1"/>
    <col min="10" max="10" width="12.33203125" customWidth="1"/>
    <col min="11" max="11" width="12.21875" customWidth="1"/>
    <col min="12" max="12" width="12.33203125" customWidth="1"/>
  </cols>
  <sheetData>
    <row r="1" spans="1:12">
      <c r="A1" s="437" t="s">
        <v>162</v>
      </c>
      <c r="B1" s="438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6.8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+C4*C5*1000</f>
        <v>170500</v>
      </c>
      <c r="D6" s="80">
        <f>+D4*D5*1000</f>
        <v>170000</v>
      </c>
      <c r="E6" s="80">
        <f t="shared" ref="E6:F6" si="0">+E4*E5*1000</f>
        <v>339000</v>
      </c>
      <c r="F6" s="80">
        <f t="shared" si="0"/>
        <v>168250</v>
      </c>
      <c r="G6" s="80">
        <f t="shared" ref="G6:H6" si="1">+G4*G5*1000</f>
        <v>1430000</v>
      </c>
      <c r="H6" s="80">
        <f t="shared" si="1"/>
        <v>141250</v>
      </c>
      <c r="I6" s="80">
        <f t="shared" ref="I6:K6" si="2">+I4*I5*1000</f>
        <v>144250</v>
      </c>
      <c r="J6" s="80">
        <f t="shared" si="2"/>
        <v>434250</v>
      </c>
      <c r="K6" s="80">
        <f t="shared" si="2"/>
        <v>432750</v>
      </c>
      <c r="L6" s="80">
        <f t="shared" ref="L6" si="3">+L4*L5*1000</f>
        <v>432000</v>
      </c>
    </row>
    <row r="7" spans="1:12">
      <c r="A7" s="32" t="s">
        <v>11</v>
      </c>
      <c r="B7" s="61" t="s">
        <v>12</v>
      </c>
      <c r="C7" s="33">
        <f>+C6*0.001425*0.45</f>
        <v>109.33312500000001</v>
      </c>
      <c r="D7" s="33">
        <f>+D6*0.001425*0.45</f>
        <v>109.0125</v>
      </c>
      <c r="E7" s="33">
        <f t="shared" ref="E7:F7" si="4">+E6*0.001425*0.45</f>
        <v>217.38375000000002</v>
      </c>
      <c r="F7" s="33">
        <f t="shared" si="4"/>
        <v>107.89031250000001</v>
      </c>
      <c r="G7" s="33">
        <f t="shared" ref="G7:H7" si="5">+G6*0.001425*0.45</f>
        <v>916.98750000000007</v>
      </c>
      <c r="H7" s="33">
        <f t="shared" si="5"/>
        <v>90.576562500000009</v>
      </c>
      <c r="I7" s="33">
        <f t="shared" ref="I7:K7" si="6">+I6*0.001425*0.45</f>
        <v>92.500312500000007</v>
      </c>
      <c r="J7" s="33">
        <f t="shared" si="6"/>
        <v>278.46281249999998</v>
      </c>
      <c r="K7" s="33">
        <f t="shared" si="6"/>
        <v>277.50093750000002</v>
      </c>
      <c r="L7" s="33">
        <f t="shared" ref="L7" si="7">+L6*0.001425*0.45</f>
        <v>277.02000000000004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6.8" thickBot="1">
      <c r="A10" s="81" t="s">
        <v>17</v>
      </c>
      <c r="B10" s="82" t="s">
        <v>18</v>
      </c>
      <c r="C10" s="83">
        <f>SUM(C6:C9)</f>
        <v>170609.333125</v>
      </c>
      <c r="D10" s="83">
        <f>SUM(D6:D9)</f>
        <v>170109.01250000001</v>
      </c>
      <c r="E10" s="83">
        <f t="shared" ref="E10:F10" si="8">SUM(E6:E9)</f>
        <v>339217.38374999998</v>
      </c>
      <c r="F10" s="83">
        <f t="shared" si="8"/>
        <v>168357.89031250001</v>
      </c>
      <c r="G10" s="83">
        <f t="shared" ref="G10:H10" si="9">SUM(G6:G9)</f>
        <v>1430916.9875</v>
      </c>
      <c r="H10" s="83">
        <f t="shared" si="9"/>
        <v>141340.57656250001</v>
      </c>
      <c r="I10" s="83">
        <f t="shared" ref="I10:K10" si="10">SUM(I6:I9)</f>
        <v>144342.50031249999</v>
      </c>
      <c r="J10" s="83">
        <f t="shared" si="10"/>
        <v>434528.46281250002</v>
      </c>
      <c r="K10" s="83">
        <f t="shared" si="10"/>
        <v>433027.50093749998</v>
      </c>
      <c r="L10" s="83">
        <f t="shared" ref="L10" si="11">SUM(L6:L9)</f>
        <v>432277.02</v>
      </c>
    </row>
    <row r="11" spans="1:12">
      <c r="A11" s="75" t="s">
        <v>19</v>
      </c>
      <c r="B11" s="76" t="s">
        <v>20</v>
      </c>
      <c r="C11" s="77">
        <f>+C10</f>
        <v>170609.333125</v>
      </c>
      <c r="D11" s="77">
        <f>+C11+D10</f>
        <v>340718.34562500002</v>
      </c>
      <c r="E11" s="77">
        <f t="shared" ref="E11:I11" si="12">+D11+E10</f>
        <v>679935.729375</v>
      </c>
      <c r="F11" s="77">
        <f t="shared" si="12"/>
        <v>848293.61968749994</v>
      </c>
      <c r="G11" s="77">
        <f t="shared" si="12"/>
        <v>2279210.6071875002</v>
      </c>
      <c r="H11" s="77">
        <f t="shared" si="12"/>
        <v>2420551.1837500003</v>
      </c>
      <c r="I11" s="77">
        <f t="shared" si="12"/>
        <v>2564893.6840625005</v>
      </c>
      <c r="J11" s="77">
        <f t="shared" ref="J11" si="13">+I11+J10</f>
        <v>2999422.1468750006</v>
      </c>
      <c r="K11" s="77">
        <f t="shared" ref="K11:L11" si="14">+J11+K10</f>
        <v>3432449.6478125006</v>
      </c>
      <c r="L11" s="77">
        <f t="shared" si="14"/>
        <v>3864726.6678125006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15">+D12+E5</f>
        <v>20</v>
      </c>
      <c r="F12" s="19">
        <f t="shared" si="15"/>
        <v>25</v>
      </c>
      <c r="G12" s="19">
        <f t="shared" si="15"/>
        <v>75</v>
      </c>
      <c r="H12" s="19">
        <f t="shared" si="15"/>
        <v>80</v>
      </c>
      <c r="I12" s="19">
        <f t="shared" si="15"/>
        <v>85</v>
      </c>
      <c r="J12" s="19">
        <f t="shared" ref="J12" si="16">+I12+J5</f>
        <v>100</v>
      </c>
      <c r="K12" s="19">
        <f t="shared" ref="K12:L12" si="17">+J12+K5</f>
        <v>115</v>
      </c>
      <c r="L12" s="19">
        <f t="shared" si="17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34.121866625000003</v>
      </c>
      <c r="D13" s="20">
        <f>+D11/D12/1000</f>
        <v>34.071834562500001</v>
      </c>
      <c r="E13" s="20">
        <f t="shared" ref="E13:F13" si="18">+E11/E12/1000</f>
        <v>33.996786468749995</v>
      </c>
      <c r="F13" s="20">
        <f t="shared" si="18"/>
        <v>33.931744787500001</v>
      </c>
      <c r="G13" s="20">
        <f t="shared" ref="G13:H13" si="19">+G11/G12/1000</f>
        <v>30.389474762500001</v>
      </c>
      <c r="H13" s="20">
        <f t="shared" si="19"/>
        <v>30.256889796875001</v>
      </c>
      <c r="I13" s="34">
        <f t="shared" ref="I13:K13" si="20">+I11/I12/1000</f>
        <v>30.175219812500007</v>
      </c>
      <c r="J13" s="34">
        <f t="shared" si="20"/>
        <v>29.994221468750005</v>
      </c>
      <c r="K13" s="34">
        <f t="shared" si="20"/>
        <v>29.847388241847831</v>
      </c>
      <c r="L13" s="34">
        <f t="shared" ref="L13" si="21">+L11/L12/1000</f>
        <v>29.728666675480774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162</v>
      </c>
      <c r="B18" s="438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6.8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22">+E21*E22*1000</f>
        <v>143250</v>
      </c>
      <c r="F23" s="80">
        <f t="shared" si="22"/>
        <v>286000</v>
      </c>
      <c r="G23" s="80">
        <f t="shared" si="22"/>
        <v>142750</v>
      </c>
      <c r="H23" s="80">
        <f t="shared" si="22"/>
        <v>142500</v>
      </c>
      <c r="I23" s="80">
        <f t="shared" si="22"/>
        <v>142250</v>
      </c>
      <c r="J23" s="80">
        <f>J21*J22*1000</f>
        <v>-350000</v>
      </c>
      <c r="K23" s="80">
        <f t="shared" si="22"/>
        <v>-350000</v>
      </c>
      <c r="L23" s="80">
        <f t="shared" si="22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23">+E23*0.001425</f>
        <v>204.13124999999999</v>
      </c>
      <c r="F24" s="33">
        <f t="shared" si="23"/>
        <v>407.55</v>
      </c>
      <c r="G24" s="33">
        <f t="shared" si="23"/>
        <v>203.41875000000002</v>
      </c>
      <c r="H24" s="33">
        <f t="shared" si="23"/>
        <v>203.0625</v>
      </c>
      <c r="I24" s="33">
        <f t="shared" si="23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24">SUM(E23:E26)</f>
        <v>143454.13125000001</v>
      </c>
      <c r="F27" s="83">
        <f t="shared" si="24"/>
        <v>286407.55</v>
      </c>
      <c r="G27" s="83">
        <f t="shared" si="24"/>
        <v>142953.41875000001</v>
      </c>
      <c r="H27" s="83">
        <f t="shared" si="24"/>
        <v>142703.0625</v>
      </c>
      <c r="I27" s="83">
        <f t="shared" si="24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4152226.6678125006</v>
      </c>
      <c r="D28" s="94">
        <f>+C28+D27</f>
        <v>4295931.1553125009</v>
      </c>
      <c r="E28" s="94">
        <f t="shared" ref="E28:I28" si="25">+D28+E27</f>
        <v>4439385.2865625005</v>
      </c>
      <c r="F28" s="94">
        <f t="shared" si="25"/>
        <v>4725792.8365625003</v>
      </c>
      <c r="G28" s="94">
        <f t="shared" si="25"/>
        <v>4868746.2553125005</v>
      </c>
      <c r="H28" s="94">
        <f t="shared" si="25"/>
        <v>5011449.3178125005</v>
      </c>
      <c r="I28" s="94">
        <f t="shared" si="25"/>
        <v>5153902.0240625003</v>
      </c>
      <c r="J28" s="77">
        <f>I28+J27</f>
        <v>4804141.0240625003</v>
      </c>
      <c r="K28" s="77">
        <f t="shared" ref="K28" si="26">J28+K27</f>
        <v>4454380.0240625003</v>
      </c>
      <c r="L28" s="77">
        <f>K28+L27</f>
        <v>4058841.0240625003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7">+D29+E22</f>
        <v>150</v>
      </c>
      <c r="F29" s="26">
        <f t="shared" si="27"/>
        <v>160</v>
      </c>
      <c r="G29" s="26">
        <f t="shared" si="27"/>
        <v>165</v>
      </c>
      <c r="H29" s="26">
        <f t="shared" si="27"/>
        <v>170</v>
      </c>
      <c r="I29" s="26">
        <f t="shared" si="27"/>
        <v>175</v>
      </c>
      <c r="J29" s="17">
        <f>J22</f>
        <v>175</v>
      </c>
      <c r="K29" s="17">
        <f t="shared" ref="K29:L29" si="28">K22</f>
        <v>175</v>
      </c>
      <c r="L29" s="17">
        <f t="shared" si="28"/>
        <v>175</v>
      </c>
    </row>
    <row r="30" spans="1:12">
      <c r="A30" s="6" t="s">
        <v>23</v>
      </c>
      <c r="B30" s="7" t="s">
        <v>24</v>
      </c>
      <c r="C30" s="20">
        <f>+C28/C29/1000</f>
        <v>29.658761912946431</v>
      </c>
      <c r="D30" s="20">
        <f>+D28/D29/1000</f>
        <v>29.627111415948281</v>
      </c>
      <c r="E30" s="20">
        <f t="shared" ref="E30:I30" si="29">+E28/E29/1000</f>
        <v>29.595901910416668</v>
      </c>
      <c r="F30" s="20">
        <f t="shared" si="29"/>
        <v>29.536205228515627</v>
      </c>
      <c r="G30" s="20">
        <f t="shared" si="29"/>
        <v>29.507553062500001</v>
      </c>
      <c r="H30" s="20">
        <f t="shared" si="29"/>
        <v>29.479113634191179</v>
      </c>
      <c r="I30" s="20">
        <f t="shared" si="29"/>
        <v>29.450868708928574</v>
      </c>
      <c r="J30" s="45">
        <f>J28/J29/1000</f>
        <v>27.452234423214286</v>
      </c>
      <c r="K30" s="45">
        <f t="shared" ref="K30:L30" si="30">K28/K29/1000</f>
        <v>25.4536001375</v>
      </c>
      <c r="L30" s="45">
        <f t="shared" si="30"/>
        <v>23.193377280357144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7" t="s">
        <v>162</v>
      </c>
      <c r="B35" s="438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6.8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31">+D38*D39*1000</f>
        <v>-331800</v>
      </c>
      <c r="E40" s="80">
        <f t="shared" si="31"/>
        <v>-105200</v>
      </c>
      <c r="F40" s="80">
        <f t="shared" ref="F40:I40" si="32">+F38*F39*1000</f>
        <v>-159899.99999999997</v>
      </c>
      <c r="G40" s="80">
        <f t="shared" si="32"/>
        <v>-268000</v>
      </c>
      <c r="H40" s="80">
        <f t="shared" si="32"/>
        <v>-269000</v>
      </c>
      <c r="I40" s="80">
        <f t="shared" si="32"/>
        <v>-270000</v>
      </c>
      <c r="J40" s="80">
        <f t="shared" ref="J40:K40" si="33">+J38*J39*1000</f>
        <v>-266500</v>
      </c>
      <c r="K40" s="80">
        <f t="shared" si="33"/>
        <v>-268000</v>
      </c>
      <c r="L40" s="80">
        <f t="shared" ref="L40" si="34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35">-(+E40*0.001425*0.45)</f>
        <v>67.459500000000006</v>
      </c>
      <c r="F41" s="33">
        <f t="shared" si="35"/>
        <v>102.53587499999999</v>
      </c>
      <c r="G41" s="33">
        <f t="shared" si="35"/>
        <v>171.85500000000002</v>
      </c>
      <c r="H41" s="33">
        <f t="shared" si="35"/>
        <v>172.49625</v>
      </c>
      <c r="I41" s="33">
        <f t="shared" si="35"/>
        <v>173.13750000000002</v>
      </c>
      <c r="J41" s="33">
        <f t="shared" si="35"/>
        <v>170.893125</v>
      </c>
      <c r="K41" s="33">
        <f t="shared" si="35"/>
        <v>171.85500000000002</v>
      </c>
      <c r="L41" s="33">
        <f t="shared" ref="L41" si="36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7">-ROUNDDOWN(E40*3/1000,0)</f>
        <v>315</v>
      </c>
      <c r="F42" s="33">
        <f t="shared" si="37"/>
        <v>479</v>
      </c>
      <c r="G42" s="33">
        <f t="shared" si="37"/>
        <v>804</v>
      </c>
      <c r="H42" s="33">
        <f t="shared" si="37"/>
        <v>807</v>
      </c>
      <c r="I42" s="33">
        <f t="shared" si="37"/>
        <v>810</v>
      </c>
      <c r="J42" s="33">
        <f t="shared" si="37"/>
        <v>799</v>
      </c>
      <c r="K42" s="33">
        <f t="shared" si="37"/>
        <v>804</v>
      </c>
      <c r="L42" s="33">
        <f t="shared" ref="L42" si="38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6.8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9">SUM(E40:E43)</f>
        <v>-104817.5405</v>
      </c>
      <c r="F44" s="83">
        <f t="shared" si="39"/>
        <v>-159318.46412499997</v>
      </c>
      <c r="G44" s="83">
        <f t="shared" si="39"/>
        <v>-267024.14500000002</v>
      </c>
      <c r="H44" s="83">
        <f t="shared" si="39"/>
        <v>-268020.50374999997</v>
      </c>
      <c r="I44" s="83">
        <f t="shared" si="39"/>
        <v>-269016.86249999999</v>
      </c>
      <c r="J44" s="83">
        <f t="shared" ref="J44:K44" si="40">SUM(J40:J43)</f>
        <v>-265530.106875</v>
      </c>
      <c r="K44" s="83">
        <f t="shared" si="40"/>
        <v>-267024.14500000002</v>
      </c>
      <c r="L44" s="83">
        <f t="shared" ref="L44" si="41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42">E44+D45</f>
        <v>3622233.4835625002</v>
      </c>
      <c r="F45" s="77">
        <f t="shared" ref="F45" si="43">F44+E45</f>
        <v>3462915.0194375003</v>
      </c>
      <c r="G45" s="77">
        <f t="shared" ref="G45" si="44">G44+F45</f>
        <v>3195890.8744375003</v>
      </c>
      <c r="H45" s="77">
        <f t="shared" ref="H45" si="45">H44+G45</f>
        <v>2927870.3706875001</v>
      </c>
      <c r="I45" s="77">
        <f t="shared" ref="I45:L45" si="46">I44+H45</f>
        <v>2658853.5081875003</v>
      </c>
      <c r="J45" s="77">
        <f t="shared" si="46"/>
        <v>2393323.4013125002</v>
      </c>
      <c r="K45" s="77">
        <f t="shared" si="46"/>
        <v>2126299.2563125002</v>
      </c>
      <c r="L45" s="77">
        <f t="shared" si="46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7">+D46+E39</f>
        <v>173</v>
      </c>
      <c r="F46" s="19">
        <f t="shared" ref="F46" si="48">+E46+F39</f>
        <v>170</v>
      </c>
      <c r="G46" s="19">
        <f t="shared" ref="G46" si="49">+F46+G39</f>
        <v>165</v>
      </c>
      <c r="H46" s="19">
        <f t="shared" ref="H46" si="50">+G46+H39</f>
        <v>160</v>
      </c>
      <c r="I46" s="19">
        <f t="shared" ref="I46" si="51">+H46+I39</f>
        <v>155</v>
      </c>
      <c r="J46" s="19">
        <f t="shared" ref="J46" si="52">+I46+J39</f>
        <v>150</v>
      </c>
      <c r="K46" s="19">
        <f t="shared" ref="K46:L46" si="53">+J46+K39</f>
        <v>145</v>
      </c>
      <c r="L46" s="19">
        <f t="shared" si="53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54">+E45/E46/1000</f>
        <v>20.93776580093931</v>
      </c>
      <c r="F47" s="20">
        <f t="shared" si="54"/>
        <v>20.370088349632354</v>
      </c>
      <c r="G47" s="20">
        <f t="shared" si="54"/>
        <v>19.369035602651518</v>
      </c>
      <c r="H47" s="20">
        <f t="shared" si="54"/>
        <v>18.299189816796876</v>
      </c>
      <c r="I47" s="34">
        <f t="shared" si="54"/>
        <v>17.153893601209678</v>
      </c>
      <c r="J47" s="34">
        <f t="shared" ref="J47:K47" si="55">+J45/J46/1000</f>
        <v>15.955489342083334</v>
      </c>
      <c r="K47" s="34">
        <f t="shared" si="55"/>
        <v>14.664132802155175</v>
      </c>
      <c r="L47" s="34">
        <f t="shared" ref="L47" si="56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162</v>
      </c>
      <c r="B52" s="438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6.8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7">+C55*C56*1000</f>
        <v>-264500</v>
      </c>
      <c r="D57" s="80">
        <f t="shared" si="57"/>
        <v>-267500</v>
      </c>
      <c r="E57" s="80">
        <f t="shared" si="57"/>
        <v>-268000</v>
      </c>
      <c r="F57" s="80">
        <f t="shared" si="57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8">-(+C57*0.001425*0.45)</f>
        <v>169.61062500000003</v>
      </c>
      <c r="D58" s="33">
        <f t="shared" si="58"/>
        <v>171.53437500000001</v>
      </c>
      <c r="E58" s="33">
        <f t="shared" si="58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9">-ROUNDDOWN(C57*3/1000,0)</f>
        <v>793</v>
      </c>
      <c r="D59" s="33">
        <f t="shared" si="59"/>
        <v>802</v>
      </c>
      <c r="E59" s="33">
        <f t="shared" si="59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6.8" thickBot="1">
      <c r="A61" s="6" t="s">
        <v>17</v>
      </c>
      <c r="B61" s="7" t="s">
        <v>18</v>
      </c>
      <c r="C61" s="83">
        <f t="shared" ref="C61:E61" si="60">SUM(C57:C60)</f>
        <v>-263537.38937500003</v>
      </c>
      <c r="D61" s="83">
        <f t="shared" si="60"/>
        <v>-266526.46562500001</v>
      </c>
      <c r="E61" s="83">
        <f t="shared" si="60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61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62">D62/D63/1000</f>
        <v>8.5612638505000032</v>
      </c>
      <c r="E64" s="34">
        <f t="shared" si="62"/>
        <v>6.6927819692708352</v>
      </c>
      <c r="F64" s="45">
        <f t="shared" si="62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2"/>
  <cols>
    <col min="1" max="1" width="4.44140625" style="28" customWidth="1"/>
    <col min="2" max="2" width="8" customWidth="1"/>
    <col min="3" max="7" width="11.77734375" customWidth="1"/>
    <col min="8" max="8" width="12.21875" customWidth="1"/>
    <col min="9" max="12" width="11.77734375" customWidth="1"/>
  </cols>
  <sheetData>
    <row r="1" spans="1:12">
      <c r="A1" s="437" t="s">
        <v>161</v>
      </c>
      <c r="B1" s="438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161</v>
      </c>
      <c r="B18" s="438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7" t="s">
        <v>161</v>
      </c>
      <c r="B35" s="438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161</v>
      </c>
      <c r="B52" s="438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tabSelected="1" view="pageBreakPreview" zoomScaleNormal="100" zoomScaleSheetLayoutView="100" workbookViewId="0">
      <selection activeCell="D41" sqref="D41"/>
    </sheetView>
  </sheetViews>
  <sheetFormatPr defaultRowHeight="16.2"/>
  <cols>
    <col min="1" max="1" width="4.44140625" style="28" customWidth="1"/>
    <col min="2" max="2" width="8" customWidth="1"/>
    <col min="3" max="3" width="12.6640625" customWidth="1"/>
    <col min="4" max="4" width="12.33203125" customWidth="1"/>
    <col min="5" max="6" width="12.21875" customWidth="1"/>
    <col min="7" max="7" width="12.33203125" customWidth="1"/>
    <col min="8" max="8" width="12.21875" customWidth="1"/>
    <col min="9" max="9" width="12.44140625" customWidth="1"/>
    <col min="10" max="10" width="12.6640625" customWidth="1"/>
    <col min="11" max="11" width="12.21875" customWidth="1"/>
    <col min="12" max="12" width="12.44140625" customWidth="1"/>
  </cols>
  <sheetData>
    <row r="1" spans="1:12">
      <c r="A1" s="439" t="s">
        <v>322</v>
      </c>
      <c r="B1" s="440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6.8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322</v>
      </c>
      <c r="B18" s="440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6.8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443">
        <f t="shared" si="12"/>
        <v>11</v>
      </c>
      <c r="H24" s="31">
        <f t="shared" si="12"/>
        <v>23</v>
      </c>
      <c r="I24" s="443">
        <f t="shared" si="12"/>
        <v>11</v>
      </c>
      <c r="J24" s="443">
        <f t="shared" si="12"/>
        <v>11</v>
      </c>
      <c r="K24" s="31">
        <f t="shared" si="12"/>
        <v>58</v>
      </c>
      <c r="L24" s="44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9" t="s">
        <v>322</v>
      </c>
      <c r="B35" s="440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6.8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" si="37">-(+E40*0.001425*0.45)</f>
        <v>35.512425</v>
      </c>
      <c r="F41" s="31">
        <f t="shared" ref="F41" si="38">-(+F40*0.001425*0.45)</f>
        <v>23.713425000000001</v>
      </c>
      <c r="G41" s="31">
        <f t="shared" ref="G41" si="39">-(+G40*0.001425*0.45)</f>
        <v>23.72625</v>
      </c>
      <c r="H41" s="33">
        <v>10</v>
      </c>
      <c r="I41" s="31">
        <f t="shared" ref="I41:J41" si="40">-(+I40*0.001425*0.45)</f>
        <v>595.08000000000004</v>
      </c>
      <c r="J41" s="31">
        <f t="shared" si="40"/>
        <v>2824.1932500000003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D42:G42" si="41">-ROUNDDOWN(E40*1/1000,0)</f>
        <v>55</v>
      </c>
      <c r="F42" s="31">
        <f t="shared" si="41"/>
        <v>36</v>
      </c>
      <c r="G42" s="31">
        <f t="shared" si="41"/>
        <v>37</v>
      </c>
      <c r="H42" s="33"/>
      <c r="I42" s="31">
        <f t="shared" ref="I42:J42" si="42">-ROUNDDOWN(I40*1/1000,0)</f>
        <v>928</v>
      </c>
      <c r="J42" s="31">
        <f t="shared" si="42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6.8" thickBot="1">
      <c r="A44" s="81" t="s">
        <v>17</v>
      </c>
      <c r="B44" s="82" t="s">
        <v>18</v>
      </c>
      <c r="C44" s="83">
        <v>-18410.175350000001</v>
      </c>
      <c r="D44" s="83">
        <f t="shared" ref="D44:G44" si="43">+D40+D41+D42</f>
        <v>-36841</v>
      </c>
      <c r="E44" s="83">
        <f t="shared" si="43"/>
        <v>-55289.487574999999</v>
      </c>
      <c r="F44" s="83">
        <f t="shared" si="43"/>
        <v>-36920.286574999998</v>
      </c>
      <c r="G44" s="83">
        <f t="shared" si="43"/>
        <v>-36939.27375</v>
      </c>
      <c r="H44" s="83">
        <f t="shared" ref="H44" si="44">+H40+H41</f>
        <v>-50590</v>
      </c>
      <c r="I44" s="83">
        <f t="shared" ref="I44:J44" si="45">+I40+I41+I42</f>
        <v>-926476.92</v>
      </c>
      <c r="J44" s="83">
        <f t="shared" si="45"/>
        <v>-4396971.8067500005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6">+C45+D44</f>
        <v>3056401</v>
      </c>
      <c r="E45" s="94">
        <f t="shared" ref="E45" si="47">+D45+E44</f>
        <v>3001111.5124249998</v>
      </c>
      <c r="F45" s="94">
        <f t="shared" ref="F45" si="48">+E45+F44</f>
        <v>2964191.22585</v>
      </c>
      <c r="G45" s="94">
        <f t="shared" ref="G45:H45" si="49">+F45+G44</f>
        <v>2927251.9520999999</v>
      </c>
      <c r="H45" s="77">
        <f t="shared" si="49"/>
        <v>2876661.9520999999</v>
      </c>
      <c r="I45" s="94">
        <f t="shared" ref="I45" si="50">+H45+I44</f>
        <v>1950185.0321</v>
      </c>
      <c r="J45" s="94">
        <f t="shared" ref="J45" si="51">+I45+J44</f>
        <v>-2446786.7746500005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52">D46+E39</f>
        <v>234</v>
      </c>
      <c r="F46" s="19">
        <f t="shared" si="52"/>
        <v>232</v>
      </c>
      <c r="G46" s="19">
        <f t="shared" si="52"/>
        <v>230</v>
      </c>
      <c r="H46" s="19">
        <f>H39</f>
        <v>230</v>
      </c>
      <c r="I46" s="19">
        <f t="shared" ref="I46" si="53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4">+D45/D46/1000</f>
        <v>12.896206751054853</v>
      </c>
      <c r="E47" s="44">
        <f t="shared" ref="E47" si="55">+E45/E46/1000</f>
        <v>12.825262873611111</v>
      </c>
      <c r="F47" s="44">
        <f t="shared" ref="F47" si="56">+F45/F46/1000</f>
        <v>12.776686318318966</v>
      </c>
      <c r="G47" s="44">
        <f t="shared" ref="G47:H47" si="57">+G45/G46/1000</f>
        <v>12.727182400434781</v>
      </c>
      <c r="H47" s="20">
        <f t="shared" si="57"/>
        <v>12.507225878695651</v>
      </c>
      <c r="I47" s="44">
        <f t="shared" ref="I47" si="58">+I45/I46/1000</f>
        <v>10.264131747894737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9" t="s">
        <v>322</v>
      </c>
      <c r="B52" s="440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6.8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6.8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41" t="s">
        <v>313</v>
      </c>
      <c r="B1" s="442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6.8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1" t="s">
        <v>313</v>
      </c>
      <c r="B18" s="442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6.8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6.8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1" t="s">
        <v>313</v>
      </c>
      <c r="B35" s="442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6.8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6.8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1" t="s">
        <v>313</v>
      </c>
      <c r="B52" s="442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6.8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6.8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2"/>
  <cols>
    <col min="1" max="1" width="3.88671875" customWidth="1"/>
    <col min="2" max="2" width="3.6640625" customWidth="1"/>
    <col min="3" max="3" width="7.21875" customWidth="1"/>
    <col min="4" max="4" width="11" customWidth="1"/>
    <col min="5" max="5" width="6.109375" customWidth="1"/>
    <col min="6" max="6" width="6.33203125" customWidth="1"/>
    <col min="7" max="7" width="9.6640625" hidden="1" customWidth="1"/>
    <col min="8" max="8" width="10.33203125" customWidth="1"/>
    <col min="9" max="9" width="8.33203125" hidden="1" customWidth="1"/>
    <col min="10" max="10" width="9.109375" customWidth="1"/>
    <col min="11" max="11" width="10.77734375" hidden="1" customWidth="1"/>
    <col min="12" max="12" width="12.77734375" customWidth="1"/>
    <col min="13" max="13" width="7.44140625" customWidth="1"/>
    <col min="14" max="14" width="10.33203125" customWidth="1"/>
    <col min="15" max="15" width="13.21875" customWidth="1"/>
    <col min="16" max="16" width="14.6640625" customWidth="1"/>
    <col min="17" max="17" width="7.21875" customWidth="1"/>
    <col min="18" max="18" width="12.21875" customWidth="1"/>
    <col min="19" max="19" width="7.21875" customWidth="1"/>
    <col min="20" max="20" width="13.21875" customWidth="1"/>
    <col min="21" max="21" width="7.6640625" customWidth="1"/>
    <col min="22" max="22" width="5.88671875" customWidth="1"/>
    <col min="23" max="23" width="9.21875" bestFit="1" customWidth="1"/>
  </cols>
  <sheetData>
    <row r="1" spans="1:23" ht="19.8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399999999999999" customHeight="1">
      <c r="A3" s="7"/>
      <c r="B3" s="72"/>
      <c r="C3" s="72"/>
      <c r="D3" s="72"/>
      <c r="E3" s="354"/>
      <c r="F3" s="355"/>
      <c r="G3" s="72"/>
      <c r="H3" s="72" t="s">
        <v>372</v>
      </c>
      <c r="I3" s="72"/>
      <c r="J3" s="72" t="s">
        <v>373</v>
      </c>
      <c r="K3" s="6"/>
      <c r="L3" s="357" t="s">
        <v>374</v>
      </c>
      <c r="M3" s="358"/>
      <c r="N3" s="120" t="s">
        <v>375</v>
      </c>
      <c r="O3" s="168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2"/>
      <c r="C4" s="122"/>
      <c r="D4" s="122"/>
      <c r="E4" s="356" t="s">
        <v>493</v>
      </c>
      <c r="F4" s="356"/>
      <c r="G4" s="209"/>
      <c r="H4" s="361" t="s">
        <v>571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3" t="s">
        <v>382</v>
      </c>
      <c r="E5" s="123" t="s">
        <v>383</v>
      </c>
      <c r="F5" s="123" t="s">
        <v>384</v>
      </c>
      <c r="G5" s="123"/>
      <c r="H5" s="360" t="s">
        <v>377</v>
      </c>
      <c r="I5" s="360"/>
      <c r="J5" s="360" t="s">
        <v>378</v>
      </c>
      <c r="K5" s="360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3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94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94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94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4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5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96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97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97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97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97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97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97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97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97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97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97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97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97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7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7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5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7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6.8" thickBot="1">
      <c r="A29" s="398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1" t="s">
        <v>489</v>
      </c>
      <c r="B30" s="382"/>
      <c r="C30" s="382"/>
      <c r="D30" s="382"/>
      <c r="E30" s="383"/>
      <c r="F30" s="401">
        <f>O30+T32</f>
        <v>165716881.03200001</v>
      </c>
      <c r="G30" s="402">
        <f t="shared" ref="G30:H31" si="9">B19+G21</f>
        <v>8</v>
      </c>
      <c r="H30" s="403">
        <f t="shared" si="9"/>
        <v>167887</v>
      </c>
      <c r="I30" s="219"/>
      <c r="J30" s="413" t="s">
        <v>479</v>
      </c>
      <c r="K30" s="139"/>
      <c r="L30" s="340">
        <f>SUM(L12:L29)-L28</f>
        <v>91346259.96800001</v>
      </c>
      <c r="M30" s="271"/>
      <c r="N30" s="346" t="s">
        <v>517</v>
      </c>
      <c r="O30" s="333">
        <f>SUM(O12:O29)-O28</f>
        <v>141056481</v>
      </c>
      <c r="P30" s="342">
        <f>O30-L30</f>
        <v>49710221.03199999</v>
      </c>
      <c r="Q30" s="344">
        <f>SUM(Q12:Q29)</f>
        <v>80.8339887445198</v>
      </c>
      <c r="R30" s="370">
        <f>SUM(R12:R29)</f>
        <v>36836282</v>
      </c>
      <c r="S30" s="338">
        <f>SUM(S12:S22)</f>
        <v>100</v>
      </c>
      <c r="T30" s="376">
        <f>SUM(T12:T29)</f>
        <v>12873939.032000002</v>
      </c>
      <c r="U30" s="374">
        <f>SUM(U12:U29)</f>
        <v>52.204907524997282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#REF!+F22</f>
        <v>#REF!</v>
      </c>
      <c r="G31" s="405">
        <f t="shared" si="9"/>
        <v>9</v>
      </c>
      <c r="H31" s="406">
        <f t="shared" si="9"/>
        <v>180410</v>
      </c>
      <c r="I31" s="219"/>
      <c r="J31" s="414"/>
      <c r="K31" s="139"/>
      <c r="L31" s="341"/>
      <c r="M31" s="272"/>
      <c r="N31" s="347"/>
      <c r="O31" s="334"/>
      <c r="P31" s="343"/>
      <c r="Q31" s="345"/>
      <c r="R31" s="371"/>
      <c r="S31" s="339"/>
      <c r="T31" s="377"/>
      <c r="U31" s="375"/>
    </row>
    <row r="32" spans="1:21" ht="13.65" customHeight="1">
      <c r="A32" s="387" t="s">
        <v>490</v>
      </c>
      <c r="B32" s="388"/>
      <c r="C32" s="388"/>
      <c r="D32" s="388"/>
      <c r="E32" s="389"/>
      <c r="F32" s="407">
        <f>T35/L30</f>
        <v>1.8141616426337888</v>
      </c>
      <c r="G32" s="408"/>
      <c r="H32" s="409"/>
      <c r="I32" s="220"/>
      <c r="J32" s="399" t="s">
        <v>509</v>
      </c>
      <c r="K32" s="7"/>
      <c r="L32" s="247"/>
      <c r="M32" s="273"/>
      <c r="N32" s="348" t="s">
        <v>518</v>
      </c>
      <c r="O32" s="350">
        <v>150815890</v>
      </c>
      <c r="P32" s="378">
        <f>P30+P11</f>
        <v>61496682.03199999</v>
      </c>
      <c r="Q32" s="379">
        <f>Q30+Q11</f>
        <v>100.00000000000003</v>
      </c>
      <c r="R32" s="366">
        <f>R30</f>
        <v>36836282</v>
      </c>
      <c r="S32" s="280" t="s">
        <v>491</v>
      </c>
      <c r="T32" s="368">
        <f>T30+T11</f>
        <v>24660400.032000002</v>
      </c>
      <c r="U32" s="281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20"/>
      <c r="J33" s="400"/>
      <c r="K33" s="7"/>
      <c r="L33" s="248"/>
      <c r="M33" s="274"/>
      <c r="N33" s="349"/>
      <c r="O33" s="351"/>
      <c r="P33" s="343"/>
      <c r="Q33" s="380"/>
      <c r="R33" s="367"/>
      <c r="S33" s="282">
        <f>R32/P32*100</f>
        <v>59.899625122591374</v>
      </c>
      <c r="T33" s="369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5" t="s">
        <v>489</v>
      </c>
      <c r="Q35" s="336"/>
      <c r="R35" s="336"/>
      <c r="S35" s="337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5" t="s">
        <v>490</v>
      </c>
      <c r="Q36" s="336"/>
      <c r="R36" s="336"/>
      <c r="S36" s="337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  <mergeCell ref="A6:A11"/>
    <mergeCell ref="A28:A29"/>
    <mergeCell ref="A12:A27"/>
    <mergeCell ref="A32:E33"/>
    <mergeCell ref="F32:H33"/>
    <mergeCell ref="J32:J33"/>
    <mergeCell ref="N32:N33"/>
    <mergeCell ref="O32:O33"/>
    <mergeCell ref="L30:L31"/>
    <mergeCell ref="N30:N31"/>
    <mergeCell ref="O30:O31"/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2"/>
  <cols>
    <col min="1" max="1" width="4.44140625" style="28" customWidth="1"/>
    <col min="2" max="2" width="8" customWidth="1"/>
    <col min="3" max="3" width="11.109375" customWidth="1"/>
    <col min="4" max="4" width="11.21875" customWidth="1"/>
    <col min="5" max="5" width="11.109375" customWidth="1"/>
    <col min="6" max="7" width="11.77734375" customWidth="1"/>
    <col min="8" max="8" width="11.44140625" customWidth="1"/>
    <col min="9" max="12" width="11.77734375" customWidth="1"/>
  </cols>
  <sheetData>
    <row r="1" spans="1:12">
      <c r="A1" s="437" t="s">
        <v>454</v>
      </c>
      <c r="B1" s="438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454</v>
      </c>
      <c r="B18" s="438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54" t="s">
        <v>477</v>
      </c>
      <c r="L33" s="355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9"/>
      <c r="B1" s="44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6.8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/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6.8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 ht="17.100000000000001" customHeight="1">
      <c r="A1" s="437"/>
      <c r="B1" s="438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/>
      <c r="B18" s="438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 ht="17.100000000000001" customHeight="1">
      <c r="A1" s="437" t="s">
        <v>33</v>
      </c>
      <c r="B1" s="438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 t="s">
        <v>33</v>
      </c>
      <c r="B18" s="438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2"/>
  <cols>
    <col min="1" max="1" width="3.88671875" customWidth="1"/>
    <col min="2" max="2" width="3.6640625" customWidth="1"/>
    <col min="3" max="3" width="7.21875" customWidth="1"/>
    <col min="4" max="4" width="11" customWidth="1"/>
    <col min="5" max="5" width="6.109375" customWidth="1"/>
    <col min="6" max="6" width="6.33203125" customWidth="1"/>
    <col min="7" max="7" width="9.6640625" hidden="1" customWidth="1"/>
    <col min="8" max="8" width="10.33203125" customWidth="1"/>
    <col min="9" max="9" width="8.33203125" hidden="1" customWidth="1"/>
    <col min="10" max="10" width="9.109375" customWidth="1"/>
    <col min="11" max="11" width="10.77734375" hidden="1" customWidth="1"/>
    <col min="12" max="12" width="12.77734375" customWidth="1"/>
    <col min="13" max="13" width="7.44140625" customWidth="1"/>
    <col min="14" max="14" width="10.33203125" customWidth="1"/>
    <col min="15" max="15" width="13.21875" customWidth="1"/>
    <col min="16" max="16" width="14.6640625" customWidth="1"/>
    <col min="17" max="17" width="7.21875" customWidth="1"/>
    <col min="18" max="18" width="12.88671875" customWidth="1"/>
    <col min="19" max="19" width="7.21875" customWidth="1"/>
    <col min="20" max="20" width="13.21875" customWidth="1"/>
    <col min="21" max="21" width="7.6640625" customWidth="1"/>
    <col min="22" max="22" width="5.88671875" customWidth="1"/>
    <col min="23" max="23" width="9.21875" bestFit="1" customWidth="1"/>
  </cols>
  <sheetData>
    <row r="1" spans="1:23" ht="19.8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399999999999999" customHeight="1">
      <c r="A3" s="7"/>
      <c r="B3" s="72"/>
      <c r="C3" s="72"/>
      <c r="D3" s="72"/>
      <c r="E3" s="354"/>
      <c r="F3" s="355"/>
      <c r="G3" s="72"/>
      <c r="H3" s="72" t="s">
        <v>372</v>
      </c>
      <c r="I3" s="72"/>
      <c r="J3" s="72" t="s">
        <v>373</v>
      </c>
      <c r="K3" s="6"/>
      <c r="L3" s="357" t="s">
        <v>374</v>
      </c>
      <c r="M3" s="358"/>
      <c r="N3" s="120" t="s">
        <v>375</v>
      </c>
      <c r="O3" s="168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2"/>
      <c r="C4" s="122"/>
      <c r="D4" s="122"/>
      <c r="E4" s="356" t="s">
        <v>493</v>
      </c>
      <c r="F4" s="356"/>
      <c r="G4" s="209"/>
      <c r="H4" s="361" t="s">
        <v>583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3" t="s">
        <v>382</v>
      </c>
      <c r="E5" s="123" t="s">
        <v>383</v>
      </c>
      <c r="F5" s="123" t="s">
        <v>384</v>
      </c>
      <c r="G5" s="123"/>
      <c r="H5" s="360" t="s">
        <v>377</v>
      </c>
      <c r="I5" s="360"/>
      <c r="J5" s="360" t="s">
        <v>378</v>
      </c>
      <c r="K5" s="360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3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94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94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94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4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5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96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97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97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97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97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97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97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97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97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97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97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97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97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98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19" t="s">
        <v>489</v>
      </c>
      <c r="B26" s="420"/>
      <c r="C26" s="420"/>
      <c r="D26" s="420"/>
      <c r="E26" s="421"/>
      <c r="F26" s="422">
        <f>O26+T28</f>
        <v>184462879.06200001</v>
      </c>
      <c r="G26" s="423">
        <f t="shared" ref="G26:H27" si="9">B19+G21</f>
        <v>8</v>
      </c>
      <c r="H26" s="424">
        <f t="shared" si="9"/>
        <v>167887</v>
      </c>
      <c r="I26" s="219"/>
      <c r="J26" s="425" t="s">
        <v>479</v>
      </c>
      <c r="K26" s="139"/>
      <c r="L26" s="426">
        <f>SUM(L12:L25)</f>
        <v>93355482.938000008</v>
      </c>
      <c r="M26" s="291"/>
      <c r="N26" s="427" t="s">
        <v>517</v>
      </c>
      <c r="O26" s="428">
        <f>SUM(O12:O25)</f>
        <v>157899774</v>
      </c>
      <c r="P26" s="429">
        <f>O26-L26</f>
        <v>64544291.061999992</v>
      </c>
      <c r="Q26" s="430">
        <f>SUM(Q12:Q25)</f>
        <v>84.558699237724795</v>
      </c>
      <c r="R26" s="431">
        <f>SUM(R12:R25)</f>
        <v>49767647</v>
      </c>
      <c r="S26" s="416">
        <f>SUM(S12:S22)</f>
        <v>100.00000000000001</v>
      </c>
      <c r="T26" s="417">
        <f>SUM(T12:T25)</f>
        <v>14776644.061999999</v>
      </c>
      <c r="U26" s="418">
        <f>SUM(U12:U25)</f>
        <v>55.628451672010328</v>
      </c>
    </row>
    <row r="27" spans="1:21" ht="10.5" customHeight="1" thickBot="1">
      <c r="A27" s="384"/>
      <c r="B27" s="385"/>
      <c r="C27" s="385"/>
      <c r="D27" s="385"/>
      <c r="E27" s="386"/>
      <c r="F27" s="404" t="e">
        <f>#REF!+F22</f>
        <v>#REF!</v>
      </c>
      <c r="G27" s="405">
        <f t="shared" si="9"/>
        <v>9</v>
      </c>
      <c r="H27" s="406">
        <f t="shared" si="9"/>
        <v>160410</v>
      </c>
      <c r="I27" s="219"/>
      <c r="J27" s="414"/>
      <c r="K27" s="139"/>
      <c r="L27" s="341"/>
      <c r="M27" s="272"/>
      <c r="N27" s="347"/>
      <c r="O27" s="334"/>
      <c r="P27" s="343"/>
      <c r="Q27" s="345"/>
      <c r="R27" s="371"/>
      <c r="S27" s="339"/>
      <c r="T27" s="377"/>
      <c r="U27" s="375"/>
    </row>
    <row r="28" spans="1:21" ht="12.75" customHeight="1">
      <c r="A28" s="387" t="s">
        <v>490</v>
      </c>
      <c r="B28" s="388"/>
      <c r="C28" s="388"/>
      <c r="D28" s="388"/>
      <c r="E28" s="389"/>
      <c r="F28" s="407">
        <f>T31/L26</f>
        <v>1.9759190703829037</v>
      </c>
      <c r="G28" s="408"/>
      <c r="H28" s="409"/>
      <c r="I28" s="220"/>
      <c r="J28" s="399" t="s">
        <v>509</v>
      </c>
      <c r="K28" s="7"/>
      <c r="L28" s="247"/>
      <c r="M28" s="273"/>
      <c r="N28" s="348" t="s">
        <v>518</v>
      </c>
      <c r="O28" s="432">
        <v>157262951</v>
      </c>
      <c r="P28" s="378">
        <f>P26+P11</f>
        <v>76330752.061999992</v>
      </c>
      <c r="Q28" s="379">
        <f>Q26+Q11</f>
        <v>100</v>
      </c>
      <c r="R28" s="366">
        <f>R26</f>
        <v>49767647</v>
      </c>
      <c r="S28" s="280" t="s">
        <v>491</v>
      </c>
      <c r="T28" s="368">
        <f>T26+T11</f>
        <v>26563105.061999999</v>
      </c>
      <c r="U28" s="281" t="s">
        <v>492</v>
      </c>
    </row>
    <row r="29" spans="1:21" ht="14.25" customHeight="1" thickBot="1">
      <c r="A29" s="390"/>
      <c r="B29" s="391"/>
      <c r="C29" s="391"/>
      <c r="D29" s="391"/>
      <c r="E29" s="392"/>
      <c r="F29" s="410"/>
      <c r="G29" s="411"/>
      <c r="H29" s="412"/>
      <c r="I29" s="220"/>
      <c r="J29" s="400"/>
      <c r="K29" s="7"/>
      <c r="L29" s="248"/>
      <c r="M29" s="274"/>
      <c r="N29" s="349"/>
      <c r="O29" s="433"/>
      <c r="P29" s="343"/>
      <c r="Q29" s="380"/>
      <c r="R29" s="367"/>
      <c r="S29" s="282">
        <f>R28/P28*100</f>
        <v>65.199995618510357</v>
      </c>
      <c r="T29" s="369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35" t="s">
        <v>489</v>
      </c>
      <c r="Q31" s="336"/>
      <c r="R31" s="336"/>
      <c r="S31" s="337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335" t="s">
        <v>490</v>
      </c>
      <c r="Q32" s="336"/>
      <c r="R32" s="336"/>
      <c r="S32" s="337"/>
      <c r="T32" s="222">
        <f>T31/L26</f>
        <v>1.9759190703829037</v>
      </c>
      <c r="U32" s="141"/>
    </row>
    <row r="33" spans="1:21" ht="17.399999999999999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56" t="s">
        <v>493</v>
      </c>
      <c r="F35" s="356"/>
      <c r="G35" s="209"/>
      <c r="H35" s="361" t="s">
        <v>583</v>
      </c>
      <c r="I35" s="362"/>
      <c r="J35" s="362"/>
      <c r="K35" s="362"/>
      <c r="L35" s="362"/>
      <c r="M35" s="362"/>
      <c r="N35" s="362"/>
      <c r="O35" s="363"/>
      <c r="P35" s="372" t="s">
        <v>380</v>
      </c>
      <c r="Q35" s="373"/>
      <c r="R35" s="373"/>
      <c r="S35" s="373"/>
      <c r="T35" s="373"/>
      <c r="U35" s="353"/>
    </row>
    <row r="36" spans="1:21" ht="20.25" customHeight="1">
      <c r="A36" s="7"/>
      <c r="B36" s="352" t="s">
        <v>381</v>
      </c>
      <c r="C36" s="353"/>
      <c r="D36" s="123" t="s">
        <v>382</v>
      </c>
      <c r="E36" s="123" t="s">
        <v>383</v>
      </c>
      <c r="F36" s="123" t="s">
        <v>384</v>
      </c>
      <c r="G36" s="123"/>
      <c r="H36" s="360" t="s">
        <v>377</v>
      </c>
      <c r="I36" s="360"/>
      <c r="J36" s="360" t="s">
        <v>378</v>
      </c>
      <c r="K36" s="360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96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6.8" thickBot="1">
      <c r="A38" s="398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  <mergeCell ref="A37:A38"/>
    <mergeCell ref="A28:E29"/>
    <mergeCell ref="F28:H29"/>
    <mergeCell ref="J28:J29"/>
    <mergeCell ref="N28:N29"/>
    <mergeCell ref="B36:C36"/>
    <mergeCell ref="H36:I36"/>
    <mergeCell ref="J36:K36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B5:C5"/>
    <mergeCell ref="H5:I5"/>
    <mergeCell ref="J5:K5"/>
    <mergeCell ref="A6:A11"/>
    <mergeCell ref="A12:A25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2"/>
  <cols>
    <col min="1" max="1" width="3.88671875" customWidth="1"/>
    <col min="2" max="2" width="3.6640625" customWidth="1"/>
    <col min="3" max="3" width="7.21875" customWidth="1"/>
    <col min="4" max="4" width="11" customWidth="1"/>
    <col min="5" max="5" width="6.109375" customWidth="1"/>
    <col min="6" max="6" width="6.33203125" customWidth="1"/>
    <col min="7" max="7" width="9.6640625" hidden="1" customWidth="1"/>
    <col min="8" max="8" width="10.33203125" customWidth="1"/>
    <col min="9" max="9" width="8.33203125" hidden="1" customWidth="1"/>
    <col min="10" max="10" width="9.109375" customWidth="1"/>
    <col min="11" max="11" width="10.77734375" hidden="1" customWidth="1"/>
    <col min="12" max="12" width="12.77734375" customWidth="1"/>
    <col min="13" max="13" width="7.44140625" customWidth="1"/>
    <col min="14" max="14" width="10.33203125" customWidth="1"/>
    <col min="15" max="15" width="13.21875" customWidth="1"/>
    <col min="16" max="16" width="14.6640625" customWidth="1"/>
    <col min="17" max="17" width="7.21875" customWidth="1"/>
    <col min="18" max="18" width="12.88671875" customWidth="1"/>
    <col min="19" max="19" width="7.21875" customWidth="1"/>
    <col min="20" max="20" width="13.21875" customWidth="1"/>
    <col min="21" max="21" width="7.6640625" customWidth="1"/>
    <col min="22" max="22" width="5.88671875" customWidth="1"/>
    <col min="23" max="23" width="9.21875" bestFit="1" customWidth="1"/>
  </cols>
  <sheetData>
    <row r="1" spans="1:23" ht="19.8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399999999999999" customHeight="1">
      <c r="A3" s="7"/>
      <c r="B3" s="72"/>
      <c r="C3" s="72"/>
      <c r="D3" s="72"/>
      <c r="E3" s="354"/>
      <c r="F3" s="355"/>
      <c r="G3" s="72"/>
      <c r="H3" s="72" t="s">
        <v>372</v>
      </c>
      <c r="I3" s="72"/>
      <c r="J3" s="72" t="s">
        <v>373</v>
      </c>
      <c r="K3" s="6"/>
      <c r="L3" s="357" t="s">
        <v>374</v>
      </c>
      <c r="M3" s="358"/>
      <c r="N3" s="120" t="s">
        <v>375</v>
      </c>
      <c r="O3" s="168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2"/>
      <c r="C4" s="122"/>
      <c r="D4" s="122"/>
      <c r="E4" s="356" t="s">
        <v>493</v>
      </c>
      <c r="F4" s="356"/>
      <c r="G4" s="209"/>
      <c r="H4" s="361" t="s">
        <v>583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3" t="s">
        <v>382</v>
      </c>
      <c r="E5" s="123" t="s">
        <v>383</v>
      </c>
      <c r="F5" s="123" t="s">
        <v>384</v>
      </c>
      <c r="G5" s="123"/>
      <c r="H5" s="360" t="s">
        <v>377</v>
      </c>
      <c r="I5" s="360"/>
      <c r="J5" s="360" t="s">
        <v>378</v>
      </c>
      <c r="K5" s="360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3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94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94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94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94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5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96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97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97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97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97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97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97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97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97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97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97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97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98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81" t="s">
        <v>489</v>
      </c>
      <c r="B25" s="382"/>
      <c r="C25" s="382"/>
      <c r="D25" s="382"/>
      <c r="E25" s="383"/>
      <c r="F25" s="422">
        <f>O25+T27</f>
        <v>188969858.07381201</v>
      </c>
      <c r="G25" s="423">
        <f>B18+G20</f>
        <v>8</v>
      </c>
      <c r="H25" s="424">
        <f t="shared" ref="H25:H26" si="8">C18+H20</f>
        <v>184387</v>
      </c>
      <c r="I25" s="219"/>
      <c r="J25" s="425" t="s">
        <v>479</v>
      </c>
      <c r="K25" s="139"/>
      <c r="L25" s="426">
        <f>SUM(L12:L24)</f>
        <v>88964637.926188007</v>
      </c>
      <c r="M25" s="291"/>
      <c r="N25" s="427" t="s">
        <v>517</v>
      </c>
      <c r="O25" s="428">
        <f>SUM(O12:O24)</f>
        <v>155684761</v>
      </c>
      <c r="P25" s="429">
        <f>O25-L25</f>
        <v>66720123.073811993</v>
      </c>
      <c r="Q25" s="430">
        <f>SUM(Q12:Q24)</f>
        <v>82.417766951269883</v>
      </c>
      <c r="R25" s="431">
        <f>SUM(R12:R24)</f>
        <v>47668471</v>
      </c>
      <c r="S25" s="416">
        <f>SUM(S12:S21)</f>
        <v>100.56309966392672</v>
      </c>
      <c r="T25" s="417">
        <f>SUM(T12:T24)</f>
        <v>19051652.073812</v>
      </c>
      <c r="U25" s="418">
        <f>SUM(U12:U24)</f>
        <v>57.237784320002575</v>
      </c>
    </row>
    <row r="26" spans="1:21" ht="10.5" customHeight="1" thickBot="1">
      <c r="A26" s="384"/>
      <c r="B26" s="385"/>
      <c r="C26" s="385"/>
      <c r="D26" s="385"/>
      <c r="E26" s="386"/>
      <c r="F26" s="404" t="e">
        <f>#REF!+F21</f>
        <v>#REF!</v>
      </c>
      <c r="G26" s="405">
        <f>B19+G21</f>
        <v>9</v>
      </c>
      <c r="H26" s="406">
        <f t="shared" si="8"/>
        <v>125410</v>
      </c>
      <c r="I26" s="219"/>
      <c r="J26" s="414"/>
      <c r="K26" s="139"/>
      <c r="L26" s="341"/>
      <c r="M26" s="272"/>
      <c r="N26" s="347"/>
      <c r="O26" s="334"/>
      <c r="P26" s="343"/>
      <c r="Q26" s="345"/>
      <c r="R26" s="371"/>
      <c r="S26" s="339"/>
      <c r="T26" s="377"/>
      <c r="U26" s="375"/>
    </row>
    <row r="27" spans="1:21" ht="12.75" customHeight="1">
      <c r="A27" s="387" t="s">
        <v>490</v>
      </c>
      <c r="B27" s="388"/>
      <c r="C27" s="388"/>
      <c r="D27" s="388"/>
      <c r="E27" s="389"/>
      <c r="F27" s="407">
        <f>T30/L25</f>
        <v>2.1241007941896659</v>
      </c>
      <c r="G27" s="408"/>
      <c r="H27" s="409"/>
      <c r="I27" s="220"/>
      <c r="J27" s="399" t="s">
        <v>509</v>
      </c>
      <c r="K27" s="7"/>
      <c r="L27" s="247"/>
      <c r="M27" s="273"/>
      <c r="N27" s="348" t="s">
        <v>518</v>
      </c>
      <c r="O27" s="432">
        <v>154812385</v>
      </c>
      <c r="P27" s="378">
        <f>P25+P11</f>
        <v>80953568.073811993</v>
      </c>
      <c r="Q27" s="379">
        <f>Q25+Q11</f>
        <v>100</v>
      </c>
      <c r="R27" s="366">
        <f>R25</f>
        <v>47668471</v>
      </c>
      <c r="S27" s="280" t="s">
        <v>491</v>
      </c>
      <c r="T27" s="368">
        <f>T25+T11</f>
        <v>33285097.073812</v>
      </c>
      <c r="U27" s="281" t="s">
        <v>492</v>
      </c>
    </row>
    <row r="28" spans="1:21" ht="14.25" customHeight="1" thickBot="1">
      <c r="A28" s="390"/>
      <c r="B28" s="391"/>
      <c r="C28" s="391"/>
      <c r="D28" s="391"/>
      <c r="E28" s="392"/>
      <c r="F28" s="410"/>
      <c r="G28" s="411"/>
      <c r="H28" s="412"/>
      <c r="I28" s="220"/>
      <c r="J28" s="400"/>
      <c r="K28" s="7"/>
      <c r="L28" s="248"/>
      <c r="M28" s="274"/>
      <c r="N28" s="349"/>
      <c r="O28" s="433"/>
      <c r="P28" s="343"/>
      <c r="Q28" s="380"/>
      <c r="R28" s="367"/>
      <c r="S28" s="282">
        <f>R27/P27*100</f>
        <v>58.883718326703956</v>
      </c>
      <c r="T28" s="369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335" t="s">
        <v>489</v>
      </c>
      <c r="Q30" s="336"/>
      <c r="R30" s="336"/>
      <c r="S30" s="337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35" t="s">
        <v>490</v>
      </c>
      <c r="Q31" s="336"/>
      <c r="R31" s="336"/>
      <c r="S31" s="337"/>
      <c r="T31" s="222">
        <f>T30/L25</f>
        <v>2.1241007941896659</v>
      </c>
      <c r="U31" s="141"/>
    </row>
    <row r="32" spans="1:21" ht="17.399999999999999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56" t="s">
        <v>493</v>
      </c>
      <c r="F34" s="356"/>
      <c r="G34" s="209"/>
      <c r="H34" s="361" t="s">
        <v>583</v>
      </c>
      <c r="I34" s="362"/>
      <c r="J34" s="362"/>
      <c r="K34" s="362"/>
      <c r="L34" s="362"/>
      <c r="M34" s="362"/>
      <c r="N34" s="362"/>
      <c r="O34" s="363"/>
      <c r="P34" s="372" t="s">
        <v>380</v>
      </c>
      <c r="Q34" s="373"/>
      <c r="R34" s="373"/>
      <c r="S34" s="373"/>
      <c r="T34" s="373"/>
      <c r="U34" s="353"/>
    </row>
    <row r="35" spans="1:21" ht="20.25" customHeight="1">
      <c r="A35" s="7"/>
      <c r="B35" s="352" t="s">
        <v>381</v>
      </c>
      <c r="C35" s="353"/>
      <c r="D35" s="123" t="s">
        <v>382</v>
      </c>
      <c r="E35" s="123" t="s">
        <v>383</v>
      </c>
      <c r="F35" s="123" t="s">
        <v>384</v>
      </c>
      <c r="G35" s="123"/>
      <c r="H35" s="360" t="s">
        <v>377</v>
      </c>
      <c r="I35" s="360"/>
      <c r="J35" s="360" t="s">
        <v>378</v>
      </c>
      <c r="K35" s="360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96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6.8" thickBot="1">
      <c r="A37" s="398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B5:C5"/>
    <mergeCell ref="H5:I5"/>
    <mergeCell ref="J5:K5"/>
    <mergeCell ref="A6:A11"/>
    <mergeCell ref="A25:E26"/>
    <mergeCell ref="F25:H26"/>
    <mergeCell ref="J25:J26"/>
    <mergeCell ref="A12:A24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2"/>
  <cols>
    <col min="1" max="1" width="3.88671875" customWidth="1"/>
    <col min="2" max="2" width="3.6640625" customWidth="1"/>
    <col min="3" max="3" width="7.21875" customWidth="1"/>
    <col min="4" max="4" width="11" customWidth="1"/>
    <col min="5" max="5" width="6.109375" customWidth="1"/>
    <col min="6" max="6" width="6.33203125" customWidth="1"/>
    <col min="7" max="7" width="9.6640625" hidden="1" customWidth="1"/>
    <col min="8" max="8" width="10.33203125" customWidth="1"/>
    <col min="9" max="9" width="8.33203125" hidden="1" customWidth="1"/>
    <col min="10" max="10" width="9.109375" customWidth="1"/>
    <col min="11" max="11" width="10.77734375" hidden="1" customWidth="1"/>
    <col min="12" max="12" width="12.77734375" customWidth="1"/>
    <col min="13" max="13" width="7.44140625" customWidth="1"/>
    <col min="14" max="14" width="10.88671875" customWidth="1"/>
    <col min="15" max="15" width="14.44140625" customWidth="1"/>
    <col min="16" max="16" width="14.6640625" customWidth="1"/>
    <col min="17" max="17" width="7.21875" customWidth="1"/>
    <col min="18" max="18" width="12.21875" customWidth="1"/>
    <col min="19" max="19" width="7.21875" customWidth="1"/>
    <col min="20" max="20" width="13.21875" customWidth="1"/>
    <col min="21" max="21" width="7.6640625" customWidth="1"/>
    <col min="22" max="22" width="5.88671875" customWidth="1"/>
    <col min="23" max="23" width="9.21875" bestFit="1" customWidth="1"/>
  </cols>
  <sheetData>
    <row r="1" spans="1:23" ht="19.8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399999999999999" customHeight="1">
      <c r="A3" s="7"/>
      <c r="B3" s="72"/>
      <c r="C3" s="72"/>
      <c r="D3" s="72"/>
      <c r="E3" s="354"/>
      <c r="F3" s="355"/>
      <c r="G3" s="72"/>
      <c r="H3" s="72" t="s">
        <v>372</v>
      </c>
      <c r="I3" s="72"/>
      <c r="J3" s="72" t="s">
        <v>373</v>
      </c>
      <c r="K3" s="6"/>
      <c r="L3" s="357" t="s">
        <v>374</v>
      </c>
      <c r="M3" s="358"/>
      <c r="N3" s="120" t="s">
        <v>375</v>
      </c>
      <c r="O3" s="168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2"/>
      <c r="C4" s="122"/>
      <c r="D4" s="122"/>
      <c r="E4" s="356" t="s">
        <v>493</v>
      </c>
      <c r="F4" s="356"/>
      <c r="G4" s="209"/>
      <c r="H4" s="434" t="s">
        <v>515</v>
      </c>
      <c r="I4" s="435"/>
      <c r="J4" s="435"/>
      <c r="K4" s="435"/>
      <c r="L4" s="435"/>
      <c r="M4" s="435"/>
      <c r="N4" s="435"/>
      <c r="O4" s="436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3" t="s">
        <v>382</v>
      </c>
      <c r="E5" s="123" t="s">
        <v>383</v>
      </c>
      <c r="F5" s="123" t="s">
        <v>384</v>
      </c>
      <c r="G5" s="123"/>
      <c r="H5" s="360" t="s">
        <v>377</v>
      </c>
      <c r="I5" s="360"/>
      <c r="J5" s="360" t="s">
        <v>378</v>
      </c>
      <c r="K5" s="360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3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94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94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94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94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5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96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97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97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97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97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97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97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97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97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97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97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97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97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7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7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97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7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6.8" thickBot="1">
      <c r="A29" s="398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1" t="s">
        <v>510</v>
      </c>
      <c r="B30" s="382"/>
      <c r="C30" s="382"/>
      <c r="D30" s="382"/>
      <c r="E30" s="383"/>
      <c r="F30" s="401">
        <f>O30+T32</f>
        <v>171792474.03200001</v>
      </c>
      <c r="G30" s="402">
        <f t="shared" ref="G30:H31" si="8">B20+G22</f>
        <v>9</v>
      </c>
      <c r="H30" s="403">
        <f t="shared" si="8"/>
        <v>167887</v>
      </c>
      <c r="I30" s="219"/>
      <c r="J30" s="413" t="s">
        <v>508</v>
      </c>
      <c r="K30" s="139"/>
      <c r="L30" s="340">
        <f>SUM(L12:L29)</f>
        <v>96989979.96800001</v>
      </c>
      <c r="M30" s="271"/>
      <c r="N30" s="346" t="s">
        <v>517</v>
      </c>
      <c r="O30" s="333">
        <f>SUM(O12:O29)</f>
        <v>151411841</v>
      </c>
      <c r="P30" s="342">
        <f>O30-L30</f>
        <v>54421861.03199999</v>
      </c>
      <c r="Q30" s="344">
        <f>SUM(Q12:Q29)</f>
        <v>88.081094833898462</v>
      </c>
      <c r="R30" s="370">
        <f>SUM(R12:R29)</f>
        <v>41405453</v>
      </c>
      <c r="S30" s="338">
        <f>SUM(S12:S23)</f>
        <v>100</v>
      </c>
      <c r="T30" s="376">
        <f>SUM(T12:T29)</f>
        <v>13016408.032000002</v>
      </c>
      <c r="U30" s="374">
        <f>SUM(U12:U29)</f>
        <v>63.866554152477512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#REF!+F23</f>
        <v>#REF!</v>
      </c>
      <c r="G31" s="405">
        <f t="shared" si="8"/>
        <v>10</v>
      </c>
      <c r="H31" s="406">
        <f t="shared" si="8"/>
        <v>180410</v>
      </c>
      <c r="I31" s="219"/>
      <c r="J31" s="414"/>
      <c r="K31" s="139"/>
      <c r="L31" s="341"/>
      <c r="M31" s="272"/>
      <c r="N31" s="347"/>
      <c r="O31" s="334"/>
      <c r="P31" s="343"/>
      <c r="Q31" s="345"/>
      <c r="R31" s="371"/>
      <c r="S31" s="339"/>
      <c r="T31" s="377"/>
      <c r="U31" s="375"/>
    </row>
    <row r="32" spans="1:21" ht="13.65" customHeight="1">
      <c r="A32" s="387" t="s">
        <v>511</v>
      </c>
      <c r="B32" s="388"/>
      <c r="C32" s="388"/>
      <c r="D32" s="388"/>
      <c r="E32" s="389"/>
      <c r="F32" s="407">
        <f>T35/L30</f>
        <v>1.7712394011080284</v>
      </c>
      <c r="G32" s="408"/>
      <c r="H32" s="409"/>
      <c r="I32" s="220"/>
      <c r="J32" s="399" t="s">
        <v>509</v>
      </c>
      <c r="K32" s="7"/>
      <c r="L32" s="247"/>
      <c r="M32" s="273"/>
      <c r="N32" s="348" t="s">
        <v>518</v>
      </c>
      <c r="O32" s="284"/>
      <c r="P32" s="378">
        <f>P30+P11</f>
        <v>61786086.03199999</v>
      </c>
      <c r="Q32" s="379">
        <f>Q30+Q11</f>
        <v>100.00000000000001</v>
      </c>
      <c r="R32" s="366">
        <f>R30</f>
        <v>41405453</v>
      </c>
      <c r="S32" s="280" t="s">
        <v>491</v>
      </c>
      <c r="T32" s="368">
        <f>T30+T11</f>
        <v>20380633.032000002</v>
      </c>
      <c r="U32" s="281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20"/>
      <c r="J33" s="400"/>
      <c r="K33" s="7"/>
      <c r="L33" s="248"/>
      <c r="M33" s="274"/>
      <c r="N33" s="349"/>
      <c r="O33" s="285"/>
      <c r="P33" s="343"/>
      <c r="Q33" s="380"/>
      <c r="R33" s="367"/>
      <c r="S33" s="282">
        <f>R32/P32*100</f>
        <v>67.014202807012992</v>
      </c>
      <c r="T33" s="369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5" t="s">
        <v>489</v>
      </c>
      <c r="Q35" s="336"/>
      <c r="R35" s="336"/>
      <c r="S35" s="337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5" t="s">
        <v>490</v>
      </c>
      <c r="Q36" s="336"/>
      <c r="R36" s="336"/>
      <c r="S36" s="337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  <mergeCell ref="R30:R31"/>
    <mergeCell ref="S30:S31"/>
    <mergeCell ref="N32:N33"/>
    <mergeCell ref="B5:C5"/>
    <mergeCell ref="H5:I5"/>
    <mergeCell ref="J5:K5"/>
    <mergeCell ref="N30:N31"/>
    <mergeCell ref="A6:A11"/>
    <mergeCell ref="A30:E31"/>
    <mergeCell ref="F30:H31"/>
    <mergeCell ref="J30:J31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opLeftCell="A13" zoomScale="115" zoomScaleNormal="115" workbookViewId="0">
      <selection activeCell="C35" sqref="C35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7" t="s">
        <v>155</v>
      </c>
      <c r="B1" s="438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6.8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+C6*0.001425*0.45</f>
        <v>359.8694999999999</v>
      </c>
      <c r="D7" s="318">
        <f t="shared" ref="D7:G7" si="3">+D6*0.001425*0.45</f>
        <v>359.8694999999999</v>
      </c>
      <c r="E7" s="318">
        <f t="shared" si="3"/>
        <v>359.8694999999999</v>
      </c>
      <c r="F7" s="318">
        <f t="shared" si="3"/>
        <v>359.74125000000004</v>
      </c>
      <c r="G7" s="318">
        <f t="shared" si="3"/>
        <v>359.613</v>
      </c>
      <c r="H7" s="318">
        <f t="shared" ref="H7:I7" si="4">+H6*0.001425*0.45</f>
        <v>356.27850000000001</v>
      </c>
      <c r="I7" s="318">
        <f t="shared" si="4"/>
        <v>356.02200000000005</v>
      </c>
      <c r="J7" s="318">
        <f>-+J6*0.001425*0.45</f>
        <v>192.69562500000001</v>
      </c>
      <c r="K7" s="318">
        <f t="shared" ref="K7:L7" si="5">-+K6*0.001425*0.45</f>
        <v>192.88799999999998</v>
      </c>
      <c r="L7" s="318">
        <f t="shared" si="5"/>
        <v>386.03250000000003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6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6.8" thickBot="1">
      <c r="A10" s="81" t="s">
        <v>17</v>
      </c>
      <c r="B10" s="82" t="s">
        <v>18</v>
      </c>
      <c r="C10" s="319">
        <f>+C6+C7</f>
        <v>561559.86949999991</v>
      </c>
      <c r="D10" s="319">
        <f t="shared" ref="D10:G10" si="7">+D6+D7</f>
        <v>561559.86949999991</v>
      </c>
      <c r="E10" s="319">
        <f t="shared" si="7"/>
        <v>561559.86949999991</v>
      </c>
      <c r="F10" s="319">
        <f t="shared" si="7"/>
        <v>561359.74124999996</v>
      </c>
      <c r="G10" s="319">
        <f t="shared" si="7"/>
        <v>561159.61300000001</v>
      </c>
      <c r="H10" s="319">
        <f t="shared" ref="H10:I10" si="8">+H6+H7</f>
        <v>555956.27850000001</v>
      </c>
      <c r="I10" s="319">
        <f t="shared" si="8"/>
        <v>555556.022</v>
      </c>
      <c r="J10" s="319">
        <f>SUM(J6:J9)</f>
        <v>-300007.30437500001</v>
      </c>
      <c r="K10" s="319">
        <f t="shared" ref="K10:L10" si="9">SUM(K6:K9)</f>
        <v>-300307.11199999996</v>
      </c>
      <c r="L10" s="319">
        <f t="shared" si="9"/>
        <v>-601011.96750000003</v>
      </c>
    </row>
    <row r="11" spans="1:12">
      <c r="A11" s="75" t="s">
        <v>19</v>
      </c>
      <c r="B11" s="76" t="s">
        <v>99</v>
      </c>
      <c r="C11" s="77">
        <f>+C10</f>
        <v>561559.86949999991</v>
      </c>
      <c r="D11" s="77">
        <f>+C11+D10</f>
        <v>1123119.7389999998</v>
      </c>
      <c r="E11" s="77">
        <f t="shared" ref="E11:G11" si="10">+D11+E10</f>
        <v>1684679.6084999996</v>
      </c>
      <c r="F11" s="77">
        <f t="shared" si="10"/>
        <v>2246039.3497499996</v>
      </c>
      <c r="G11" s="77">
        <f t="shared" si="10"/>
        <v>2807198.9627499995</v>
      </c>
      <c r="H11" s="77">
        <f t="shared" ref="H11" si="11">+G11+H10</f>
        <v>3363155.2412499995</v>
      </c>
      <c r="I11" s="77">
        <f t="shared" ref="I11" si="12">+H11+I10</f>
        <v>3918711.2632499994</v>
      </c>
      <c r="J11" s="77">
        <f>+I11+J10</f>
        <v>3618703.9588749995</v>
      </c>
      <c r="K11" s="77">
        <f t="shared" ref="K11:L11" si="13">+J11+K10</f>
        <v>3318396.8468749998</v>
      </c>
      <c r="L11" s="77">
        <f t="shared" si="13"/>
        <v>2717384.8793749996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4">+D12+E5</f>
        <v>60</v>
      </c>
      <c r="F12" s="19">
        <f t="shared" si="14"/>
        <v>80</v>
      </c>
      <c r="G12" s="19">
        <f t="shared" si="14"/>
        <v>100</v>
      </c>
      <c r="H12" s="19">
        <f t="shared" ref="H12" si="15">+G12+H5</f>
        <v>120</v>
      </c>
      <c r="I12" s="19">
        <f t="shared" ref="I12" si="16">+H12+I5</f>
        <v>140</v>
      </c>
      <c r="J12" s="17">
        <f>+I12+J5</f>
        <v>130</v>
      </c>
      <c r="K12" s="17">
        <f t="shared" ref="K12:L12" si="17">+J12+K5</f>
        <v>120</v>
      </c>
      <c r="L12" s="17">
        <f t="shared" si="17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28.077993474999996</v>
      </c>
      <c r="D13" s="20">
        <f t="shared" ref="D13:G13" si="18">+D11/D12/1000</f>
        <v>28.077993474999996</v>
      </c>
      <c r="E13" s="20">
        <f t="shared" si="18"/>
        <v>28.077993474999992</v>
      </c>
      <c r="F13" s="20">
        <f t="shared" si="18"/>
        <v>28.075491871874995</v>
      </c>
      <c r="G13" s="20">
        <f t="shared" si="18"/>
        <v>28.071989627499995</v>
      </c>
      <c r="H13" s="20">
        <f t="shared" ref="H13:J13" si="19">+H11/H12/1000</f>
        <v>28.026293677083331</v>
      </c>
      <c r="I13" s="20">
        <f t="shared" si="19"/>
        <v>27.990794737499996</v>
      </c>
      <c r="J13" s="20">
        <f t="shared" si="19"/>
        <v>27.836184299038457</v>
      </c>
      <c r="K13" s="20">
        <f t="shared" ref="K13:L13" si="20">+K11/K12/1000</f>
        <v>27.653307057291666</v>
      </c>
      <c r="L13" s="35">
        <f t="shared" si="20"/>
        <v>27.173848793749997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155</v>
      </c>
      <c r="B18" s="438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6.8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1">D21*D22*1000</f>
        <v>-180000</v>
      </c>
      <c r="E23" s="324">
        <f t="shared" si="21"/>
        <v>-210000</v>
      </c>
      <c r="F23" s="324">
        <f t="shared" si="21"/>
        <v>-100000</v>
      </c>
      <c r="G23" s="324">
        <f t="shared" si="21"/>
        <v>-120000</v>
      </c>
      <c r="H23" s="324">
        <f t="shared" ref="H23:I23" si="22">H21*H22*1000</f>
        <v>-70000</v>
      </c>
      <c r="I23" s="324">
        <f t="shared" si="22"/>
        <v>-79000</v>
      </c>
      <c r="J23" s="324">
        <f t="shared" ref="J23" si="23">J21*J22*1000</f>
        <v>-107000</v>
      </c>
      <c r="K23" s="324">
        <f t="shared" ref="K23" si="24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6.8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5">SUM(D23:D26)</f>
        <v>-179990</v>
      </c>
      <c r="E27" s="327">
        <f t="shared" si="25"/>
        <v>-209990</v>
      </c>
      <c r="F27" s="327">
        <f t="shared" si="25"/>
        <v>-99990</v>
      </c>
      <c r="G27" s="327">
        <f t="shared" si="25"/>
        <v>-119990</v>
      </c>
      <c r="H27" s="327">
        <f t="shared" ref="H27:I27" si="26">SUM(H23:H26)</f>
        <v>-69990</v>
      </c>
      <c r="I27" s="327">
        <f t="shared" si="26"/>
        <v>-78990</v>
      </c>
      <c r="J27" s="327">
        <f t="shared" ref="J27:K27" si="27">SUM(J23:J26)</f>
        <v>-106990</v>
      </c>
      <c r="K27" s="327">
        <f t="shared" si="27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2557394.8793749996</v>
      </c>
      <c r="D28" s="94">
        <f>C28+D27</f>
        <v>2377404.8793749996</v>
      </c>
      <c r="E28" s="94">
        <f t="shared" ref="E28:K28" si="28">D28+E27</f>
        <v>2167414.8793749996</v>
      </c>
      <c r="F28" s="94">
        <f t="shared" si="28"/>
        <v>2067424.8793749996</v>
      </c>
      <c r="G28" s="94">
        <f t="shared" si="28"/>
        <v>1947434.8793749996</v>
      </c>
      <c r="H28" s="77">
        <f t="shared" si="28"/>
        <v>1877444.8793749996</v>
      </c>
      <c r="I28" s="77">
        <f t="shared" si="28"/>
        <v>1798454.8793749996</v>
      </c>
      <c r="J28" s="77">
        <f t="shared" si="28"/>
        <v>1691464.8793749996</v>
      </c>
      <c r="K28" s="77">
        <f t="shared" si="28"/>
        <v>1584474.8793749996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25.573948793749995</v>
      </c>
      <c r="D30" s="44">
        <f t="shared" ref="D30:G30" si="29">D28/D29/1000</f>
        <v>23.774048793749998</v>
      </c>
      <c r="E30" s="44">
        <f t="shared" si="29"/>
        <v>21.674148793749996</v>
      </c>
      <c r="F30" s="44">
        <f t="shared" si="29"/>
        <v>20.674248793749996</v>
      </c>
      <c r="G30" s="44">
        <f t="shared" si="29"/>
        <v>19.474348793749996</v>
      </c>
      <c r="H30" s="10">
        <f t="shared" ref="H30:I30" si="30">H28/H29/1000</f>
        <v>18.774448793749993</v>
      </c>
      <c r="I30" s="20">
        <f t="shared" si="30"/>
        <v>17.984548793749997</v>
      </c>
      <c r="J30" s="20">
        <f t="shared" ref="J30:K30" si="31">J28/J29/1000</f>
        <v>16.914648793749993</v>
      </c>
      <c r="K30" s="20">
        <f t="shared" si="31"/>
        <v>15.844748793749995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topLeftCell="A27" zoomScale="115" zoomScaleNormal="115" workbookViewId="0">
      <selection activeCell="E48" sqref="E48"/>
    </sheetView>
  </sheetViews>
  <sheetFormatPr defaultRowHeight="16.2"/>
  <cols>
    <col min="1" max="1" width="4.44140625" style="28" customWidth="1"/>
    <col min="2" max="2" width="8" customWidth="1"/>
    <col min="3" max="9" width="11.6640625" customWidth="1"/>
    <col min="10" max="10" width="12.109375" customWidth="1"/>
    <col min="11" max="12" width="12.21875" customWidth="1"/>
  </cols>
  <sheetData>
    <row r="1" spans="1:12">
      <c r="A1" s="439" t="s">
        <v>438</v>
      </c>
      <c r="B1" s="440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6.8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+C6*0.001425*0.45</f>
        <v>366.41025000000002</v>
      </c>
      <c r="D7" s="318">
        <f t="shared" ref="D7:K7" si="1">+D6*0.001425*0.45</f>
        <v>183.14099999999996</v>
      </c>
      <c r="E7" s="318">
        <f t="shared" si="1"/>
        <v>366.15375000000006</v>
      </c>
      <c r="F7" s="318">
        <f t="shared" si="1"/>
        <v>182.75624999999999</v>
      </c>
      <c r="G7" s="318">
        <f t="shared" si="1"/>
        <v>182.49975000000001</v>
      </c>
      <c r="H7" s="318">
        <f t="shared" si="1"/>
        <v>364.48650000000009</v>
      </c>
      <c r="I7" s="318">
        <f t="shared" si="1"/>
        <v>367.30799999999999</v>
      </c>
      <c r="J7" s="318">
        <f t="shared" si="1"/>
        <v>373.33575000000002</v>
      </c>
      <c r="K7" s="318">
        <f t="shared" si="1"/>
        <v>373.20750000000004</v>
      </c>
      <c r="L7" s="318">
        <f t="shared" ref="L7" si="2">+L6*0.001425*0.45</f>
        <v>562.50450000000001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6.8" thickBot="1">
      <c r="A10" s="81" t="s">
        <v>17</v>
      </c>
      <c r="B10" s="82" t="s">
        <v>18</v>
      </c>
      <c r="C10" s="319">
        <f>+C6+C7</f>
        <v>571766.41024999996</v>
      </c>
      <c r="D10" s="319">
        <f t="shared" ref="D10:L10" si="3">+D6+D7</f>
        <v>285783.14099999995</v>
      </c>
      <c r="E10" s="319">
        <f t="shared" si="3"/>
        <v>571366.15375000006</v>
      </c>
      <c r="F10" s="319">
        <f t="shared" si="3"/>
        <v>285182.75624999998</v>
      </c>
      <c r="G10" s="319">
        <f t="shared" si="3"/>
        <v>284782.49975000002</v>
      </c>
      <c r="H10" s="319">
        <f t="shared" si="3"/>
        <v>568764.48650000012</v>
      </c>
      <c r="I10" s="319">
        <f t="shared" si="3"/>
        <v>573167.30799999996</v>
      </c>
      <c r="J10" s="319">
        <f t="shared" si="3"/>
        <v>582573.33574999997</v>
      </c>
      <c r="K10" s="319">
        <f t="shared" si="3"/>
        <v>582373.20750000002</v>
      </c>
      <c r="L10" s="319">
        <f t="shared" si="3"/>
        <v>877762.50449999992</v>
      </c>
    </row>
    <row r="11" spans="1:12">
      <c r="A11" s="98" t="s">
        <v>19</v>
      </c>
      <c r="B11" s="99" t="s">
        <v>20</v>
      </c>
      <c r="C11" s="86">
        <f>+C10</f>
        <v>571766.41024999996</v>
      </c>
      <c r="D11" s="86">
        <f>+C11+D10</f>
        <v>857549.5512499999</v>
      </c>
      <c r="E11" s="86">
        <f t="shared" ref="E11:F11" si="4">+D11+E10</f>
        <v>1428915.7050000001</v>
      </c>
      <c r="F11" s="86">
        <f t="shared" si="4"/>
        <v>1714098.4612500002</v>
      </c>
      <c r="G11" s="86">
        <f t="shared" ref="G11" si="5">+F11+G10</f>
        <v>1998880.9610000001</v>
      </c>
      <c r="H11" s="86">
        <f t="shared" ref="H11" si="6">+G11+H10</f>
        <v>2567645.4475000002</v>
      </c>
      <c r="I11" s="86">
        <f t="shared" ref="I11" si="7">+H11+I10</f>
        <v>3140812.7555</v>
      </c>
      <c r="J11" s="86">
        <f t="shared" ref="J11" si="8">+I11+J10</f>
        <v>3723386.0912500001</v>
      </c>
      <c r="K11" s="86">
        <f t="shared" ref="K11" si="9">+J11+K10</f>
        <v>4305759.2987500001</v>
      </c>
      <c r="L11" s="86">
        <f t="shared" ref="L11" si="10">+K11+L10</f>
        <v>5183521.8032499999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1">+D12+E5</f>
        <v>50</v>
      </c>
      <c r="F12" s="19">
        <f t="shared" si="11"/>
        <v>60</v>
      </c>
      <c r="G12" s="19">
        <f t="shared" ref="G12" si="12">+F12+G5</f>
        <v>70</v>
      </c>
      <c r="H12" s="19">
        <f t="shared" ref="H12" si="13">+G12+H5</f>
        <v>90</v>
      </c>
      <c r="I12" s="19">
        <f t="shared" ref="I12" si="14">+H12+I5</f>
        <v>110</v>
      </c>
      <c r="J12" s="19">
        <f t="shared" ref="J12" si="15">+I12+J5</f>
        <v>130</v>
      </c>
      <c r="K12" s="19">
        <f t="shared" ref="K12" si="16">+J12+K5</f>
        <v>150</v>
      </c>
      <c r="L12" s="19">
        <f t="shared" ref="L12" si="17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28.588320512499998</v>
      </c>
      <c r="D13" s="20">
        <f t="shared" ref="D13:F13" si="18">+D11/D12/1000</f>
        <v>28.584985041666663</v>
      </c>
      <c r="E13" s="20">
        <f t="shared" si="18"/>
        <v>28.578314100000004</v>
      </c>
      <c r="F13" s="20">
        <f t="shared" si="18"/>
        <v>28.568307687500003</v>
      </c>
      <c r="G13" s="20">
        <f t="shared" ref="G13:H13" si="19">+G11/G12/1000</f>
        <v>28.555442300000003</v>
      </c>
      <c r="H13" s="20">
        <f t="shared" si="19"/>
        <v>28.529393861111114</v>
      </c>
      <c r="I13" s="20">
        <f t="shared" ref="I13:L13" si="20">+I11/I12/1000</f>
        <v>28.55284323181818</v>
      </c>
      <c r="J13" s="20">
        <f t="shared" si="20"/>
        <v>28.641431471153847</v>
      </c>
      <c r="K13" s="20">
        <f t="shared" si="20"/>
        <v>28.705061991666664</v>
      </c>
      <c r="L13" s="20">
        <f t="shared" si="20"/>
        <v>28.797343351388889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423</v>
      </c>
      <c r="B18" s="440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6.8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1">+D21*D22*1000</f>
        <v>893100</v>
      </c>
      <c r="E23" s="317">
        <f t="shared" si="21"/>
        <v>1489000</v>
      </c>
      <c r="F23" s="317">
        <f t="shared" si="21"/>
        <v>599800</v>
      </c>
      <c r="G23" s="317">
        <f t="shared" ref="G23:H23" si="22">+G21*G22*1000</f>
        <v>-124000</v>
      </c>
      <c r="H23" s="317">
        <f t="shared" si="22"/>
        <v>1471000</v>
      </c>
      <c r="I23" s="317">
        <f t="shared" ref="I23:J23" si="23">+I21*I22*1000</f>
        <v>1469000</v>
      </c>
      <c r="J23" s="317">
        <f t="shared" si="23"/>
        <v>-167500</v>
      </c>
      <c r="K23" s="317">
        <f t="shared" ref="K23:L23" si="24">+K21*K22*1000</f>
        <v>-172500</v>
      </c>
      <c r="L23" s="317">
        <f t="shared" si="24"/>
        <v>-170000</v>
      </c>
    </row>
    <row r="24" spans="1:12">
      <c r="A24" s="32" t="s">
        <v>11</v>
      </c>
      <c r="B24" s="61" t="s">
        <v>12</v>
      </c>
      <c r="C24" s="318">
        <f>+C23*0.001425*0.45</f>
        <v>2257.7130000000002</v>
      </c>
      <c r="D24" s="318">
        <f t="shared" ref="D24:H24" si="25">+D23*0.001425*0.45</f>
        <v>572.70037500000001</v>
      </c>
      <c r="E24" s="318">
        <f t="shared" si="25"/>
        <v>954.82125000000019</v>
      </c>
      <c r="F24" s="318">
        <f t="shared" si="25"/>
        <v>384.62175000000002</v>
      </c>
      <c r="G24" s="14">
        <v>10</v>
      </c>
      <c r="H24" s="318">
        <f t="shared" si="25"/>
        <v>943.27875000000006</v>
      </c>
      <c r="I24" s="318">
        <f t="shared" ref="I24" si="26">+I23*0.001425*0.45</f>
        <v>941.99625000000015</v>
      </c>
      <c r="J24" s="14">
        <v>0</v>
      </c>
      <c r="K24" s="14">
        <v>0</v>
      </c>
      <c r="L24" s="14">
        <v>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6.8" thickBot="1">
      <c r="A27" s="81" t="s">
        <v>17</v>
      </c>
      <c r="B27" s="82" t="s">
        <v>18</v>
      </c>
      <c r="C27" s="319">
        <f>+C23+C24</f>
        <v>3523057.713</v>
      </c>
      <c r="D27" s="319">
        <f t="shared" ref="D27:F27" si="27">+D23+D24</f>
        <v>893672.70037500001</v>
      </c>
      <c r="E27" s="319">
        <f t="shared" si="27"/>
        <v>1489954.82125</v>
      </c>
      <c r="F27" s="319">
        <f t="shared" si="27"/>
        <v>600184.62175000005</v>
      </c>
      <c r="G27" s="319">
        <f t="shared" ref="G27:H27" si="28">+G23+G24</f>
        <v>-123990</v>
      </c>
      <c r="H27" s="319">
        <f t="shared" si="28"/>
        <v>1471943.2787500001</v>
      </c>
      <c r="I27" s="319">
        <f t="shared" ref="I27:J27" si="29">+I23+I24</f>
        <v>1469941.9962500001</v>
      </c>
      <c r="J27" s="319">
        <f t="shared" si="29"/>
        <v>-167500</v>
      </c>
      <c r="K27" s="319">
        <f t="shared" ref="K27:L27" si="30">+K23+K24</f>
        <v>-172500</v>
      </c>
      <c r="L27" s="319">
        <f t="shared" si="30"/>
        <v>-170000</v>
      </c>
    </row>
    <row r="28" spans="1:12">
      <c r="A28" s="75" t="s">
        <v>19</v>
      </c>
      <c r="B28" s="76" t="s">
        <v>20</v>
      </c>
      <c r="C28" s="86">
        <f>+C27+L11</f>
        <v>8706579.5162499994</v>
      </c>
      <c r="D28" s="86">
        <f>D27+C28</f>
        <v>9600252.2166249994</v>
      </c>
      <c r="E28" s="86">
        <f t="shared" ref="E28:L28" si="31">E27+D28</f>
        <v>11090207.037875</v>
      </c>
      <c r="F28" s="86">
        <f t="shared" si="31"/>
        <v>11690391.659625001</v>
      </c>
      <c r="G28" s="288">
        <f t="shared" si="31"/>
        <v>11566401.659625001</v>
      </c>
      <c r="H28" s="289">
        <f t="shared" si="31"/>
        <v>13038344.938375002</v>
      </c>
      <c r="I28" s="289">
        <f t="shared" si="31"/>
        <v>14508286.934625002</v>
      </c>
      <c r="J28" s="289">
        <f t="shared" si="31"/>
        <v>14340786.934625002</v>
      </c>
      <c r="K28" s="289">
        <f t="shared" si="31"/>
        <v>14168286.934625002</v>
      </c>
      <c r="L28" s="289">
        <f t="shared" si="31"/>
        <v>13998286.934625002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2">+C28/C29/1000</f>
        <v>29.021931720833329</v>
      </c>
      <c r="D30" s="20">
        <f t="shared" si="32"/>
        <v>29.09167338371212</v>
      </c>
      <c r="E30" s="20">
        <f t="shared" si="32"/>
        <v>29.184755362828948</v>
      </c>
      <c r="F30" s="20">
        <f t="shared" si="32"/>
        <v>29.225979149062503</v>
      </c>
      <c r="G30" s="44">
        <f t="shared" ref="G30:H30" si="33">+G28/G29/1000</f>
        <v>28.916004149062505</v>
      </c>
      <c r="H30" s="10">
        <f t="shared" si="33"/>
        <v>28.97409986305556</v>
      </c>
      <c r="I30" s="20">
        <f t="shared" ref="I30:J30" si="34">+I28/I29/1000</f>
        <v>29.016573869250003</v>
      </c>
      <c r="J30" s="10">
        <f t="shared" si="34"/>
        <v>28.681573869250002</v>
      </c>
      <c r="K30" s="10">
        <f t="shared" ref="K30:L30" si="35">+K28/K29/1000</f>
        <v>28.336573869250003</v>
      </c>
      <c r="L30" s="20">
        <f t="shared" si="35"/>
        <v>27.996573869250003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39" t="s">
        <v>423</v>
      </c>
      <c r="B35" s="440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6.8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6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6.8" thickBot="1">
      <c r="A44" s="81" t="s">
        <v>17</v>
      </c>
      <c r="B44" s="82" t="s">
        <v>18</v>
      </c>
      <c r="C44" s="319">
        <f t="shared" ref="C44" si="37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8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9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8" sqref="E8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9" t="s">
        <v>444</v>
      </c>
      <c r="B1" s="440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6.8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444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6.8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2"/>
  <cols>
    <col min="1" max="1" width="4.44140625" style="28" customWidth="1"/>
    <col min="2" max="2" width="8" customWidth="1"/>
    <col min="3" max="12" width="11.77734375" customWidth="1"/>
  </cols>
  <sheetData>
    <row r="1" spans="1:12">
      <c r="A1" s="439" t="s">
        <v>628</v>
      </c>
      <c r="B1" s="440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6.8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6.8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628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6.8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6.8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</vt:lpstr>
      <vt:lpstr>元大美債20</vt:lpstr>
      <vt:lpstr>統一</vt:lpstr>
      <vt:lpstr>台塑化</vt:lpstr>
      <vt:lpstr>達欣工</vt:lpstr>
      <vt:lpstr>台企銀</vt:lpstr>
      <vt:lpstr>玉山金</vt:lpstr>
      <vt:lpstr>台新金</vt:lpstr>
      <vt:lpstr>國眾</vt:lpstr>
      <vt:lpstr>致和證</vt:lpstr>
      <vt:lpstr>9933中鼎</vt:lpstr>
      <vt:lpstr>5706鳳凰(結案)</vt:lpstr>
      <vt:lpstr>國泰全球品牌(結清)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2024-12-17T11:09:04Z</dcterms:modified>
</cp:coreProperties>
</file>