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D51499C9-5879-41E2-9307-BAEF4900C514}" xr6:coauthVersionLast="47" xr6:coauthVersionMax="47" xr10:uidLastSave="{00000000-0000-0000-0000-000000000000}"/>
  <bookViews>
    <workbookView xWindow="-120" yWindow="-120" windowWidth="29040" windowHeight="15720" tabRatio="741" firstSheet="9" activeTab="16" xr2:uid="{00000000-000D-0000-FFFF-FFFF00000000}"/>
  </bookViews>
  <sheets>
    <sheet name="總表20240312" sheetId="46" r:id="rId1"/>
    <sheet name="總表20240408" sheetId="53" r:id="rId2"/>
    <sheet name="總表20240517" sheetId="54" r:id="rId3"/>
    <sheet name="總表20240918" sheetId="57" r:id="rId4"/>
    <sheet name="總表 (空白可填)" sheetId="52" r:id="rId5"/>
    <sheet name="元大高股息(OK)" sheetId="27" r:id="rId6"/>
    <sheet name="元大美債20(OK)" sheetId="48" r:id="rId7"/>
    <sheet name="統一(OK)" sheetId="49" r:id="rId8"/>
    <sheet name="台塑化(OK)" sheetId="56" r:id="rId9"/>
    <sheet name="達欣工(OK)" sheetId="17" r:id="rId10"/>
    <sheet name="台企銀" sheetId="4" r:id="rId11"/>
    <sheet name="玉山金(OK)" sheetId="44" r:id="rId12"/>
    <sheet name="台新金(OK)" sheetId="15" r:id="rId13"/>
    <sheet name="國眾(OK)" sheetId="41" r:id="rId14"/>
    <sheet name="致和證(OK)" sheetId="45" r:id="rId15"/>
    <sheet name="5706鳳凰(OK)" sheetId="35" r:id="rId16"/>
    <sheet name="9933中鼎(OK)" sheetId="39" r:id="rId17"/>
    <sheet name="國泰全球品牌(結清)(入檔)" sheetId="43" r:id="rId18"/>
    <sheet name="國泰智能車(結清)(入檔)" sheetId="40" r:id="rId19"/>
    <sheet name="0050元大50(入檔)" sheetId="50" r:id="rId20"/>
    <sheet name="空白" sheetId="47" r:id="rId21"/>
    <sheet name="x空白" sheetId="1" r:id="rId22"/>
    <sheet name="x" sheetId="5" r:id="rId23"/>
  </sheets>
  <definedNames>
    <definedName name="_xlnm.Print_Area" localSheetId="19">'0050元大50(入檔)'!$A$1:$L$35</definedName>
  </definedNames>
  <calcPr calcId="191029"/>
</workbook>
</file>

<file path=xl/calcChain.xml><?xml version="1.0" encoding="utf-8"?>
<calcChain xmlns="http://schemas.openxmlformats.org/spreadsheetml/2006/main">
  <c r="D58" i="39" l="1"/>
  <c r="E58" i="39"/>
  <c r="D59" i="39"/>
  <c r="E59" i="39"/>
  <c r="C58" i="39"/>
  <c r="F41" i="39"/>
  <c r="G41" i="39"/>
  <c r="H41" i="39"/>
  <c r="I41" i="39"/>
  <c r="J41" i="39"/>
  <c r="K41" i="39"/>
  <c r="L41" i="39"/>
  <c r="E41" i="39"/>
  <c r="E40" i="39"/>
  <c r="F40" i="39"/>
  <c r="G40" i="39"/>
  <c r="H40" i="39"/>
  <c r="I40" i="39"/>
  <c r="J40" i="39"/>
  <c r="K40" i="39"/>
  <c r="L40" i="39"/>
  <c r="D40" i="39"/>
  <c r="L23" i="39"/>
  <c r="J27" i="39"/>
  <c r="C28" i="39"/>
  <c r="D24" i="39"/>
  <c r="E24" i="39"/>
  <c r="F24" i="39"/>
  <c r="G24" i="39"/>
  <c r="H24" i="39"/>
  <c r="I24" i="39"/>
  <c r="C24" i="39"/>
  <c r="D7" i="45"/>
  <c r="E7" i="45"/>
  <c r="F7" i="45"/>
  <c r="C7" i="45"/>
  <c r="D58" i="41"/>
  <c r="E58" i="41"/>
  <c r="F58" i="41"/>
  <c r="G58" i="41"/>
  <c r="H58" i="41"/>
  <c r="I58" i="41"/>
  <c r="J58" i="41"/>
  <c r="K58" i="41"/>
  <c r="L58" i="41"/>
  <c r="C58" i="41"/>
  <c r="G40" i="41"/>
  <c r="D42" i="41"/>
  <c r="I41" i="41"/>
  <c r="J41" i="41"/>
  <c r="K41" i="41"/>
  <c r="L41" i="41"/>
  <c r="H41" i="41"/>
  <c r="E41" i="41"/>
  <c r="F41" i="41"/>
  <c r="D41" i="41"/>
  <c r="D24" i="41"/>
  <c r="E24" i="41"/>
  <c r="F24" i="41"/>
  <c r="G24" i="41"/>
  <c r="H24" i="41"/>
  <c r="I24" i="41"/>
  <c r="J24" i="41"/>
  <c r="K24" i="41"/>
  <c r="C24" i="41"/>
  <c r="D7" i="41"/>
  <c r="E7" i="41"/>
  <c r="F7" i="41"/>
  <c r="G7" i="41"/>
  <c r="H7" i="41"/>
  <c r="I7" i="41"/>
  <c r="J7" i="41"/>
  <c r="K7" i="41"/>
  <c r="L7" i="41"/>
  <c r="C7" i="41"/>
  <c r="D7" i="15"/>
  <c r="E7" i="15"/>
  <c r="H7" i="15"/>
  <c r="I7" i="15"/>
  <c r="J7" i="15"/>
  <c r="K7" i="15"/>
  <c r="C7" i="15"/>
  <c r="D24" i="44"/>
  <c r="E24" i="44"/>
  <c r="C24" i="44"/>
  <c r="L7" i="44"/>
  <c r="D7" i="44"/>
  <c r="E7" i="44"/>
  <c r="F7" i="44"/>
  <c r="G7" i="44"/>
  <c r="H7" i="44"/>
  <c r="I7" i="44"/>
  <c r="J7" i="44"/>
  <c r="C7" i="44"/>
  <c r="H61" i="17"/>
  <c r="G61" i="17"/>
  <c r="H40" i="17"/>
  <c r="I40" i="17"/>
  <c r="J40" i="17"/>
  <c r="K40" i="17"/>
  <c r="G40" i="17"/>
  <c r="D24" i="48"/>
  <c r="E24" i="48"/>
  <c r="F24" i="48"/>
  <c r="H24" i="48"/>
  <c r="I24" i="48"/>
  <c r="C24" i="48"/>
  <c r="D7" i="48"/>
  <c r="E7" i="48"/>
  <c r="F7" i="48"/>
  <c r="G7" i="48"/>
  <c r="H7" i="48"/>
  <c r="I7" i="48"/>
  <c r="J7" i="48"/>
  <c r="K7" i="48"/>
  <c r="L7" i="48"/>
  <c r="C7" i="48"/>
  <c r="K7" i="27"/>
  <c r="L7" i="27"/>
  <c r="J7" i="27"/>
  <c r="D7" i="27"/>
  <c r="E7" i="27"/>
  <c r="F7" i="27"/>
  <c r="G7" i="27"/>
  <c r="H7" i="27"/>
  <c r="I7" i="27"/>
  <c r="C7" i="27"/>
  <c r="D7" i="39"/>
  <c r="E7" i="39"/>
  <c r="F7" i="39"/>
  <c r="G7" i="39"/>
  <c r="H7" i="39"/>
  <c r="I7" i="39"/>
  <c r="J7" i="39"/>
  <c r="K7" i="39"/>
  <c r="L7" i="39"/>
  <c r="D6" i="39"/>
  <c r="E6" i="39"/>
  <c r="F6" i="39"/>
  <c r="G6" i="39"/>
  <c r="H6" i="39"/>
  <c r="I6" i="39"/>
  <c r="J6" i="39"/>
  <c r="K6" i="39"/>
  <c r="L6" i="39"/>
  <c r="C7" i="39"/>
  <c r="C6" i="39"/>
  <c r="I42" i="43"/>
  <c r="J42" i="43"/>
  <c r="E42" i="43"/>
  <c r="F42" i="43"/>
  <c r="G42" i="43"/>
  <c r="E41" i="43"/>
  <c r="F41" i="43"/>
  <c r="G41" i="43"/>
  <c r="I41" i="43"/>
  <c r="J41" i="43"/>
  <c r="D42" i="43"/>
  <c r="D41" i="43"/>
  <c r="E40" i="43"/>
  <c r="F40" i="43"/>
  <c r="G40" i="43"/>
  <c r="H40" i="43"/>
  <c r="I40" i="43"/>
  <c r="J40" i="43"/>
  <c r="D40" i="43"/>
  <c r="E25" i="43"/>
  <c r="F25" i="43"/>
  <c r="G25" i="43"/>
  <c r="H25" i="43"/>
  <c r="I25" i="43"/>
  <c r="J25" i="43"/>
  <c r="K25" i="43"/>
  <c r="L25" i="43"/>
  <c r="E24" i="43"/>
  <c r="F24" i="43"/>
  <c r="G24" i="43"/>
  <c r="H24" i="43"/>
  <c r="I24" i="43"/>
  <c r="J24" i="43"/>
  <c r="K24" i="43"/>
  <c r="L24" i="43"/>
  <c r="D25" i="43"/>
  <c r="D24" i="43"/>
  <c r="E23" i="43"/>
  <c r="F23" i="43"/>
  <c r="G23" i="43"/>
  <c r="H23" i="43"/>
  <c r="I23" i="43"/>
  <c r="J23" i="43"/>
  <c r="K23" i="43"/>
  <c r="L23" i="43"/>
  <c r="D23" i="43"/>
  <c r="D7" i="43"/>
  <c r="E7" i="43"/>
  <c r="F7" i="43"/>
  <c r="G7" i="43"/>
  <c r="H7" i="43"/>
  <c r="J7" i="43"/>
  <c r="K7" i="43"/>
  <c r="L7" i="43"/>
  <c r="C7" i="43"/>
  <c r="D6" i="43"/>
  <c r="E6" i="43"/>
  <c r="F6" i="43"/>
  <c r="G6" i="43"/>
  <c r="H6" i="43"/>
  <c r="I6" i="43"/>
  <c r="J6" i="43"/>
  <c r="K6" i="43"/>
  <c r="L6" i="43"/>
  <c r="C6" i="43"/>
  <c r="D57" i="40"/>
  <c r="D58" i="40" s="1"/>
  <c r="E57" i="40"/>
  <c r="E58" i="40" s="1"/>
  <c r="F57" i="40"/>
  <c r="F58" i="40" s="1"/>
  <c r="G57" i="40"/>
  <c r="G58" i="40" s="1"/>
  <c r="H57" i="40"/>
  <c r="H59" i="40" s="1"/>
  <c r="I57" i="40"/>
  <c r="I59" i="40" s="1"/>
  <c r="C57" i="40"/>
  <c r="C59" i="40" s="1"/>
  <c r="H41" i="40"/>
  <c r="I41" i="40"/>
  <c r="D40" i="40"/>
  <c r="D42" i="40" s="1"/>
  <c r="E40" i="40"/>
  <c r="E42" i="40" s="1"/>
  <c r="F40" i="40"/>
  <c r="F42" i="40" s="1"/>
  <c r="G40" i="40"/>
  <c r="G42" i="40" s="1"/>
  <c r="H40" i="40"/>
  <c r="H42" i="40" s="1"/>
  <c r="I40" i="40"/>
  <c r="I42" i="40" s="1"/>
  <c r="J40" i="40"/>
  <c r="J41" i="40" s="1"/>
  <c r="K40" i="40"/>
  <c r="K41" i="40" s="1"/>
  <c r="L40" i="40"/>
  <c r="L41" i="40" s="1"/>
  <c r="C40" i="40"/>
  <c r="C41" i="40" s="1"/>
  <c r="K7" i="40"/>
  <c r="C7" i="40"/>
  <c r="G7" i="40"/>
  <c r="I7" i="40"/>
  <c r="D6" i="40"/>
  <c r="D7" i="40" s="1"/>
  <c r="E6" i="40"/>
  <c r="E7" i="40" s="1"/>
  <c r="F6" i="40"/>
  <c r="F7" i="40" s="1"/>
  <c r="G6" i="40"/>
  <c r="H6" i="40"/>
  <c r="H7" i="40" s="1"/>
  <c r="I6" i="40"/>
  <c r="J6" i="40"/>
  <c r="J7" i="40" s="1"/>
  <c r="K6" i="40"/>
  <c r="K8" i="40" s="1"/>
  <c r="L6" i="40"/>
  <c r="L8" i="40" s="1"/>
  <c r="C6" i="40"/>
  <c r="G23" i="50"/>
  <c r="G25" i="50" s="1"/>
  <c r="H23" i="50"/>
  <c r="H25" i="50" s="1"/>
  <c r="I23" i="50"/>
  <c r="I25" i="50" s="1"/>
  <c r="J23" i="50"/>
  <c r="J25" i="50" s="1"/>
  <c r="K23" i="50"/>
  <c r="K25" i="50" s="1"/>
  <c r="L23" i="50"/>
  <c r="L25" i="50" s="1"/>
  <c r="D23" i="50"/>
  <c r="D24" i="50" s="1"/>
  <c r="E23" i="50"/>
  <c r="E24" i="50" s="1"/>
  <c r="F23" i="50"/>
  <c r="C23" i="50"/>
  <c r="C24" i="50" s="1"/>
  <c r="E7" i="50"/>
  <c r="F7" i="50"/>
  <c r="K7" i="50"/>
  <c r="D6" i="50"/>
  <c r="D7" i="50" s="1"/>
  <c r="E6" i="50"/>
  <c r="F6" i="50"/>
  <c r="G6" i="50"/>
  <c r="G7" i="50" s="1"/>
  <c r="H6" i="50"/>
  <c r="H7" i="50" s="1"/>
  <c r="I6" i="50"/>
  <c r="I7" i="50" s="1"/>
  <c r="J6" i="50"/>
  <c r="J7" i="50" s="1"/>
  <c r="K6" i="50"/>
  <c r="L6" i="50"/>
  <c r="L7" i="50" s="1"/>
  <c r="C7" i="50"/>
  <c r="C6" i="50"/>
  <c r="D23" i="35"/>
  <c r="D24" i="35" s="1"/>
  <c r="E23" i="35"/>
  <c r="E24" i="35" s="1"/>
  <c r="F23" i="35"/>
  <c r="F24" i="35" s="1"/>
  <c r="G23" i="35"/>
  <c r="G24" i="35" s="1"/>
  <c r="H23" i="35"/>
  <c r="H24" i="35" s="1"/>
  <c r="I23" i="35"/>
  <c r="I24" i="35" s="1"/>
  <c r="J23" i="35"/>
  <c r="J24" i="35" s="1"/>
  <c r="K23" i="35"/>
  <c r="K24" i="35" s="1"/>
  <c r="C23" i="35"/>
  <c r="C24" i="35" s="1"/>
  <c r="L6" i="35"/>
  <c r="L7" i="35" s="1"/>
  <c r="K6" i="35"/>
  <c r="K7" i="35" s="1"/>
  <c r="D6" i="35"/>
  <c r="D7" i="35" s="1"/>
  <c r="E6" i="35"/>
  <c r="E7" i="35" s="1"/>
  <c r="F6" i="35"/>
  <c r="F7" i="35" s="1"/>
  <c r="G6" i="35"/>
  <c r="G7" i="35" s="1"/>
  <c r="C6" i="35"/>
  <c r="C7" i="35" s="1"/>
  <c r="D58" i="17"/>
  <c r="E58" i="17"/>
  <c r="D57" i="17"/>
  <c r="E57" i="17"/>
  <c r="F57" i="17"/>
  <c r="F58" i="17" s="1"/>
  <c r="C58" i="17"/>
  <c r="C57" i="17"/>
  <c r="E40" i="17"/>
  <c r="E41" i="17" s="1"/>
  <c r="F40" i="17"/>
  <c r="F41" i="17" s="1"/>
  <c r="D40" i="17"/>
  <c r="D41" i="17" s="1"/>
  <c r="D24" i="17"/>
  <c r="E24" i="17"/>
  <c r="F24" i="17"/>
  <c r="G24" i="17"/>
  <c r="D23" i="17"/>
  <c r="E23" i="17"/>
  <c r="F23" i="17"/>
  <c r="G23" i="17"/>
  <c r="H23" i="17"/>
  <c r="H24" i="17" s="1"/>
  <c r="I23" i="17"/>
  <c r="I24" i="17" s="1"/>
  <c r="J23" i="17"/>
  <c r="J24" i="17" s="1"/>
  <c r="C23" i="17"/>
  <c r="C24" i="17"/>
  <c r="D7" i="17"/>
  <c r="E7" i="17"/>
  <c r="F7" i="17"/>
  <c r="D6" i="17"/>
  <c r="E6" i="17"/>
  <c r="F6" i="17"/>
  <c r="G6" i="17"/>
  <c r="G7" i="17" s="1"/>
  <c r="H6" i="17"/>
  <c r="H7" i="17" s="1"/>
  <c r="I6" i="17"/>
  <c r="I7" i="17" s="1"/>
  <c r="J6" i="17"/>
  <c r="J7" i="17" s="1"/>
  <c r="K6" i="17"/>
  <c r="K7" i="17" s="1"/>
  <c r="L6" i="17"/>
  <c r="L7" i="17" s="1"/>
  <c r="C7" i="17"/>
  <c r="C6" i="17"/>
  <c r="D6" i="49"/>
  <c r="D7" i="49" s="1"/>
  <c r="C6" i="49"/>
  <c r="C7" i="49" s="1"/>
  <c r="D74" i="4"/>
  <c r="D75" i="4" s="1"/>
  <c r="E74" i="4"/>
  <c r="F74" i="4"/>
  <c r="F75" i="4" s="1"/>
  <c r="G74" i="4"/>
  <c r="G75" i="4" s="1"/>
  <c r="H74" i="4"/>
  <c r="H75" i="4" s="1"/>
  <c r="E75" i="4"/>
  <c r="C74" i="4"/>
  <c r="C75" i="4" s="1"/>
  <c r="H57" i="4"/>
  <c r="H58" i="4" s="1"/>
  <c r="I57" i="4"/>
  <c r="I58" i="4" s="1"/>
  <c r="J57" i="4"/>
  <c r="J58" i="4" s="1"/>
  <c r="K57" i="4"/>
  <c r="K58" i="4" s="1"/>
  <c r="L57" i="4"/>
  <c r="L58" i="4" s="1"/>
  <c r="G57" i="4"/>
  <c r="G58" i="4" s="1"/>
  <c r="D57" i="4"/>
  <c r="D58" i="4" s="1"/>
  <c r="E57" i="4"/>
  <c r="E58" i="4" s="1"/>
  <c r="C57" i="4"/>
  <c r="C58" i="4" s="1"/>
  <c r="E40" i="4"/>
  <c r="E41" i="4" s="1"/>
  <c r="F40" i="4"/>
  <c r="F41" i="4" s="1"/>
  <c r="G40" i="4"/>
  <c r="G41" i="4" s="1"/>
  <c r="H40" i="4"/>
  <c r="H41" i="4" s="1"/>
  <c r="I40" i="4"/>
  <c r="I41" i="4" s="1"/>
  <c r="J40" i="4"/>
  <c r="J41" i="4" s="1"/>
  <c r="K40" i="4"/>
  <c r="K41" i="4" s="1"/>
  <c r="L40" i="4"/>
  <c r="L41" i="4" s="1"/>
  <c r="D40" i="4"/>
  <c r="D41" i="4" s="1"/>
  <c r="K24" i="4"/>
  <c r="L24" i="4"/>
  <c r="D23" i="4"/>
  <c r="F23" i="4"/>
  <c r="G23" i="4"/>
  <c r="K23" i="4"/>
  <c r="L23" i="4"/>
  <c r="C23" i="4"/>
  <c r="C24" i="4" s="1"/>
  <c r="G7" i="4"/>
  <c r="H7" i="4"/>
  <c r="I7" i="4"/>
  <c r="J7" i="4"/>
  <c r="K7" i="4"/>
  <c r="F6" i="4"/>
  <c r="F7" i="4" s="1"/>
  <c r="G6" i="4"/>
  <c r="H6" i="4"/>
  <c r="I6" i="4"/>
  <c r="J6" i="4"/>
  <c r="K6" i="4"/>
  <c r="L6" i="4"/>
  <c r="L7" i="4" s="1"/>
  <c r="E6" i="4"/>
  <c r="E7" i="4" s="1"/>
  <c r="D6" i="4"/>
  <c r="C6" i="4"/>
  <c r="C7" i="4" s="1"/>
  <c r="D7" i="4"/>
  <c r="C40" i="48"/>
  <c r="C44" i="48" s="1"/>
  <c r="C45" i="48" s="1"/>
  <c r="C47" i="48" s="1"/>
  <c r="G59" i="40" l="1"/>
  <c r="G41" i="40"/>
  <c r="F59" i="40"/>
  <c r="F41" i="40"/>
  <c r="E59" i="40"/>
  <c r="E41" i="40"/>
  <c r="D59" i="40"/>
  <c r="D41" i="40"/>
  <c r="G24" i="50"/>
  <c r="C42" i="40"/>
  <c r="L24" i="50"/>
  <c r="L42" i="40"/>
  <c r="C58" i="40"/>
  <c r="K24" i="50"/>
  <c r="K42" i="40"/>
  <c r="I58" i="40"/>
  <c r="J24" i="50"/>
  <c r="J42" i="40"/>
  <c r="H58" i="40"/>
  <c r="I24" i="50"/>
  <c r="L7" i="40"/>
  <c r="H24" i="50"/>
  <c r="L23" i="48"/>
  <c r="L27" i="48" s="1"/>
  <c r="H78" i="4" l="1"/>
  <c r="G78" i="4" l="1"/>
  <c r="F78" i="4"/>
  <c r="E78" i="4" l="1"/>
  <c r="D78" i="4" l="1"/>
  <c r="C78" i="4"/>
  <c r="L61" i="4"/>
  <c r="K23" i="27" l="1"/>
  <c r="K27" i="27" s="1"/>
  <c r="K61" i="4" l="1"/>
  <c r="J61" i="4"/>
  <c r="G61" i="4" l="1"/>
  <c r="O22" i="57"/>
  <c r="L22" i="57"/>
  <c r="R25" i="57"/>
  <c r="R27" i="57" s="1"/>
  <c r="S22" i="57" s="1"/>
  <c r="O36" i="57"/>
  <c r="L36" i="57"/>
  <c r="H26" i="57"/>
  <c r="G26" i="57"/>
  <c r="F26" i="57"/>
  <c r="H25" i="57"/>
  <c r="G25" i="57"/>
  <c r="O21" i="57"/>
  <c r="L21" i="57"/>
  <c r="K21" i="57"/>
  <c r="O20" i="57"/>
  <c r="L20" i="57"/>
  <c r="O19" i="57"/>
  <c r="L19" i="57"/>
  <c r="K19" i="57"/>
  <c r="O18" i="57"/>
  <c r="L18" i="57"/>
  <c r="K18" i="57"/>
  <c r="O17" i="57"/>
  <c r="L17" i="57"/>
  <c r="O16" i="57"/>
  <c r="L16" i="57"/>
  <c r="K16" i="57"/>
  <c r="O15" i="57"/>
  <c r="L15" i="57"/>
  <c r="K15" i="57"/>
  <c r="O14" i="57"/>
  <c r="L14" i="57"/>
  <c r="O13" i="57"/>
  <c r="L13" i="57"/>
  <c r="K13" i="57"/>
  <c r="O12" i="57"/>
  <c r="L12" i="57"/>
  <c r="K12" i="57"/>
  <c r="T11" i="57"/>
  <c r="R11" i="57"/>
  <c r="P11" i="57"/>
  <c r="P21" i="57" l="1"/>
  <c r="T21" i="57" s="1"/>
  <c r="P19" i="57"/>
  <c r="T19" i="57" s="1"/>
  <c r="P22" i="57"/>
  <c r="T22" i="57" s="1"/>
  <c r="P16" i="57"/>
  <c r="T16" i="57" s="1"/>
  <c r="P15" i="57"/>
  <c r="T15" i="57" s="1"/>
  <c r="P17" i="57"/>
  <c r="T17" i="57" s="1"/>
  <c r="P20" i="57"/>
  <c r="P13" i="57"/>
  <c r="P14" i="57"/>
  <c r="P18" i="57"/>
  <c r="P36" i="57"/>
  <c r="O25" i="57"/>
  <c r="T14" i="57"/>
  <c r="T18" i="57"/>
  <c r="S21" i="57"/>
  <c r="S6" i="57"/>
  <c r="S14" i="57"/>
  <c r="S17" i="57"/>
  <c r="S16" i="57"/>
  <c r="S12" i="57"/>
  <c r="S7" i="57"/>
  <c r="S15" i="57"/>
  <c r="S20" i="57"/>
  <c r="S19" i="57"/>
  <c r="S18" i="57"/>
  <c r="S13" i="57"/>
  <c r="T20" i="57"/>
  <c r="T13" i="57"/>
  <c r="L25" i="57"/>
  <c r="M22" i="57" s="1"/>
  <c r="P12" i="57"/>
  <c r="E80" i="41"/>
  <c r="E78" i="41"/>
  <c r="M18" i="57" l="1"/>
  <c r="M13" i="57"/>
  <c r="M14" i="57"/>
  <c r="M19" i="57"/>
  <c r="M17" i="57"/>
  <c r="M16" i="57"/>
  <c r="M20" i="57"/>
  <c r="P25" i="57"/>
  <c r="P27" i="57" s="1"/>
  <c r="Q22" i="57" s="1"/>
  <c r="M15" i="57"/>
  <c r="S25" i="57"/>
  <c r="T12" i="57"/>
  <c r="M21" i="57"/>
  <c r="M12" i="57"/>
  <c r="S11" i="57"/>
  <c r="J23" i="27"/>
  <c r="J27" i="27" s="1"/>
  <c r="Q12" i="57" l="1"/>
  <c r="Q9" i="57"/>
  <c r="T25" i="57"/>
  <c r="T27" i="57" s="1"/>
  <c r="U22" i="57" s="1"/>
  <c r="Q11" i="57"/>
  <c r="Q6" i="57"/>
  <c r="Q7" i="57"/>
  <c r="Q8" i="57"/>
  <c r="Q16" i="57"/>
  <c r="Q14" i="57"/>
  <c r="Q18" i="57"/>
  <c r="Q20" i="57"/>
  <c r="Q15" i="57"/>
  <c r="S28" i="57"/>
  <c r="Q17" i="57"/>
  <c r="Q21" i="57"/>
  <c r="Q13" i="57"/>
  <c r="Q19" i="57"/>
  <c r="K23" i="48"/>
  <c r="K27" i="48" s="1"/>
  <c r="U12" i="57" l="1"/>
  <c r="U9" i="57"/>
  <c r="Q25" i="57"/>
  <c r="Q27" i="57" s="1"/>
  <c r="U6" i="57"/>
  <c r="U28" i="57"/>
  <c r="U7" i="57"/>
  <c r="U8" i="57"/>
  <c r="T30" i="57"/>
  <c r="F25" i="57"/>
  <c r="U21" i="57"/>
  <c r="U19" i="57"/>
  <c r="U15" i="57"/>
  <c r="U18" i="57"/>
  <c r="U17" i="57"/>
  <c r="U16" i="57"/>
  <c r="U14" i="57"/>
  <c r="U13" i="57"/>
  <c r="U20" i="57"/>
  <c r="U25" i="57" l="1"/>
  <c r="U11" i="57"/>
  <c r="T31" i="57"/>
  <c r="F27" i="57"/>
  <c r="J44" i="43"/>
  <c r="I44" i="43" l="1"/>
  <c r="F63" i="39"/>
  <c r="F57" i="39"/>
  <c r="F61" i="39" s="1"/>
  <c r="D57" i="39" l="1"/>
  <c r="E57" i="39"/>
  <c r="C57" i="39"/>
  <c r="C59" i="39" s="1"/>
  <c r="L42" i="39"/>
  <c r="E61" i="39" l="1"/>
  <c r="D61" i="39"/>
  <c r="C61" i="39"/>
  <c r="L44" i="39"/>
  <c r="D12" i="56"/>
  <c r="D6" i="56"/>
  <c r="D10" i="56" s="1"/>
  <c r="K42" i="39" l="1"/>
  <c r="K44" i="39" l="1"/>
  <c r="E6" i="56"/>
  <c r="E7" i="56" s="1"/>
  <c r="E10" i="56" s="1"/>
  <c r="E11" i="56" s="1"/>
  <c r="C29" i="56"/>
  <c r="D29" i="56" s="1"/>
  <c r="E29" i="56" s="1"/>
  <c r="F29" i="56" s="1"/>
  <c r="F23" i="56"/>
  <c r="F27" i="56" s="1"/>
  <c r="E23" i="56"/>
  <c r="E24" i="56" s="1"/>
  <c r="E27" i="56" s="1"/>
  <c r="D23" i="56"/>
  <c r="D24" i="56" s="1"/>
  <c r="C23" i="56"/>
  <c r="C24" i="56" s="1"/>
  <c r="C27" i="56" s="1"/>
  <c r="C28" i="56" s="1"/>
  <c r="C12" i="56"/>
  <c r="L6" i="56"/>
  <c r="K6" i="56"/>
  <c r="K10" i="56" s="1"/>
  <c r="J6" i="56"/>
  <c r="J7" i="56" s="1"/>
  <c r="I6" i="56"/>
  <c r="H6" i="56"/>
  <c r="G6" i="56"/>
  <c r="C6" i="56"/>
  <c r="C7" i="56" s="1"/>
  <c r="L7" i="56" l="1"/>
  <c r="L10" i="56" s="1"/>
  <c r="J10" i="56"/>
  <c r="G7" i="56"/>
  <c r="G10" i="56" s="1"/>
  <c r="H7" i="56"/>
  <c r="H10" i="56" s="1"/>
  <c r="C10" i="56"/>
  <c r="C11" i="56" s="1"/>
  <c r="D11" i="56" s="1"/>
  <c r="D13" i="56" s="1"/>
  <c r="I7" i="56"/>
  <c r="I10" i="56" s="1"/>
  <c r="D27" i="56"/>
  <c r="D28" i="56" s="1"/>
  <c r="E28" i="56" s="1"/>
  <c r="F28" i="56" s="1"/>
  <c r="L57" i="41"/>
  <c r="C13" i="56" l="1"/>
  <c r="L59" i="41"/>
  <c r="L61" i="41" s="1"/>
  <c r="D74" i="41"/>
  <c r="D75" i="41" s="1"/>
  <c r="C74" i="41"/>
  <c r="C76" i="41" s="1"/>
  <c r="G57" i="41"/>
  <c r="H57" i="41"/>
  <c r="I57" i="41"/>
  <c r="I59" i="41" s="1"/>
  <c r="J57" i="41"/>
  <c r="K57" i="41"/>
  <c r="J59" i="41"/>
  <c r="K59" i="41"/>
  <c r="H59" i="41" l="1"/>
  <c r="H61" i="41" s="1"/>
  <c r="G59" i="41"/>
  <c r="G61" i="41" s="1"/>
  <c r="I61" i="41"/>
  <c r="K61" i="41"/>
  <c r="J61" i="41"/>
  <c r="D76" i="41"/>
  <c r="D78" i="41" s="1"/>
  <c r="C75" i="41"/>
  <c r="C78" i="41" s="1"/>
  <c r="F57" i="41"/>
  <c r="F59" i="41" l="1"/>
  <c r="F61" i="41" s="1"/>
  <c r="D57" i="41" l="1"/>
  <c r="E57" i="41"/>
  <c r="D59" i="41" l="1"/>
  <c r="D61" i="41" s="1"/>
  <c r="E59" i="41"/>
  <c r="E61" i="41" s="1"/>
  <c r="C97" i="41"/>
  <c r="C91" i="41"/>
  <c r="C93" i="41" s="1"/>
  <c r="C96" i="41" l="1"/>
  <c r="C92" i="41"/>
  <c r="C95" i="41" s="1"/>
  <c r="C57" i="41"/>
  <c r="C59" i="41" s="1"/>
  <c r="J40" i="41"/>
  <c r="K40" i="41"/>
  <c r="L40" i="41"/>
  <c r="J42" i="41" l="1"/>
  <c r="J44" i="41" s="1"/>
  <c r="C61" i="41"/>
  <c r="L42" i="41"/>
  <c r="L44" i="41" s="1"/>
  <c r="K42" i="41"/>
  <c r="K44" i="41" s="1"/>
  <c r="I40" i="41"/>
  <c r="H12" i="45"/>
  <c r="I12" i="45" s="1"/>
  <c r="H40" i="41"/>
  <c r="H42" i="41" s="1"/>
  <c r="G22" i="44"/>
  <c r="E6" i="49"/>
  <c r="E10" i="49" s="1"/>
  <c r="O37" i="54"/>
  <c r="L37" i="54"/>
  <c r="C61" i="4" l="1"/>
  <c r="J42" i="39"/>
  <c r="J44" i="39"/>
  <c r="I42" i="41"/>
  <c r="I44" i="41" s="1"/>
  <c r="L44" i="4"/>
  <c r="H44" i="41"/>
  <c r="G27" i="44"/>
  <c r="P37" i="54"/>
  <c r="I23" i="27" l="1"/>
  <c r="I27" i="27" s="1"/>
  <c r="H57" i="17"/>
  <c r="H27" i="54"/>
  <c r="G27" i="54"/>
  <c r="F27" i="54"/>
  <c r="R26" i="54"/>
  <c r="R28" i="54" s="1"/>
  <c r="H26" i="54"/>
  <c r="G26" i="54"/>
  <c r="O22" i="54"/>
  <c r="L22" i="54"/>
  <c r="K22" i="54"/>
  <c r="O21" i="54"/>
  <c r="L21" i="54"/>
  <c r="O20" i="54"/>
  <c r="L20" i="54"/>
  <c r="K20" i="54"/>
  <c r="O19" i="54"/>
  <c r="L19" i="54"/>
  <c r="K19" i="54"/>
  <c r="O18" i="54"/>
  <c r="L18" i="54"/>
  <c r="O17" i="54"/>
  <c r="L17" i="54"/>
  <c r="K17" i="54"/>
  <c r="O16" i="54"/>
  <c r="L16" i="54"/>
  <c r="K16" i="54"/>
  <c r="O15" i="54"/>
  <c r="L15" i="54"/>
  <c r="O14" i="54"/>
  <c r="L14" i="54"/>
  <c r="K14" i="54"/>
  <c r="O13" i="54"/>
  <c r="L13" i="54"/>
  <c r="K13" i="54"/>
  <c r="O12" i="54"/>
  <c r="L12" i="54"/>
  <c r="K12" i="54"/>
  <c r="T11" i="54"/>
  <c r="R11" i="54"/>
  <c r="P11" i="54"/>
  <c r="L26" i="54" l="1"/>
  <c r="P14" i="54"/>
  <c r="T14" i="54" s="1"/>
  <c r="P20" i="54"/>
  <c r="T20" i="54" s="1"/>
  <c r="O26" i="54"/>
  <c r="P19" i="54"/>
  <c r="T19" i="54" s="1"/>
  <c r="P15" i="54"/>
  <c r="T15" i="54" s="1"/>
  <c r="P21" i="54"/>
  <c r="T21" i="54" s="1"/>
  <c r="P18" i="54"/>
  <c r="T18" i="54" s="1"/>
  <c r="P12" i="54"/>
  <c r="T12" i="54" s="1"/>
  <c r="P16" i="54"/>
  <c r="T16" i="54" s="1"/>
  <c r="P22" i="54"/>
  <c r="T22" i="54" s="1"/>
  <c r="P17" i="54"/>
  <c r="T17" i="54" s="1"/>
  <c r="M22" i="54"/>
  <c r="P13" i="54"/>
  <c r="T13" i="54" s="1"/>
  <c r="S21" i="54"/>
  <c r="S20" i="54"/>
  <c r="S15" i="54"/>
  <c r="S14" i="54"/>
  <c r="S13" i="54"/>
  <c r="S6" i="54"/>
  <c r="S16" i="54"/>
  <c r="S19" i="54"/>
  <c r="S22" i="54"/>
  <c r="S18" i="54"/>
  <c r="S17" i="54"/>
  <c r="S12" i="54"/>
  <c r="S7" i="54"/>
  <c r="F46" i="39"/>
  <c r="G46" i="39" s="1"/>
  <c r="H46" i="39" s="1"/>
  <c r="I46" i="39" s="1"/>
  <c r="J46" i="39" s="1"/>
  <c r="K46" i="39" s="1"/>
  <c r="I42" i="39"/>
  <c r="G42" i="39"/>
  <c r="F42" i="39"/>
  <c r="E46" i="39"/>
  <c r="O28" i="53"/>
  <c r="L28" i="53"/>
  <c r="L46" i="39" l="1"/>
  <c r="C63" i="39" s="1"/>
  <c r="D63" i="39" s="1"/>
  <c r="E63" i="39" s="1"/>
  <c r="E42" i="39"/>
  <c r="E44" i="39" s="1"/>
  <c r="P28" i="53"/>
  <c r="G44" i="39"/>
  <c r="M21" i="54"/>
  <c r="M17" i="54"/>
  <c r="M13" i="54"/>
  <c r="M15" i="54"/>
  <c r="M19" i="54"/>
  <c r="M14" i="54"/>
  <c r="M18" i="54"/>
  <c r="M16" i="54"/>
  <c r="P26" i="54"/>
  <c r="P28" i="54" s="1"/>
  <c r="Q14" i="54" s="1"/>
  <c r="M12" i="54"/>
  <c r="M20" i="54"/>
  <c r="T26" i="54"/>
  <c r="T28" i="54" s="1"/>
  <c r="U12" i="54" s="1"/>
  <c r="S11" i="54"/>
  <c r="S26" i="54"/>
  <c r="F44" i="39"/>
  <c r="H42" i="39"/>
  <c r="I44" i="39"/>
  <c r="T11" i="53"/>
  <c r="P11" i="53"/>
  <c r="H31" i="53"/>
  <c r="G31" i="53"/>
  <c r="F31" i="53"/>
  <c r="R30" i="53"/>
  <c r="R32" i="53" s="1"/>
  <c r="H30" i="53"/>
  <c r="G30" i="53"/>
  <c r="O22" i="53"/>
  <c r="L22" i="53"/>
  <c r="K22" i="53"/>
  <c r="O21" i="53"/>
  <c r="L21" i="53"/>
  <c r="O20" i="53"/>
  <c r="P20" i="53" s="1"/>
  <c r="L20" i="53"/>
  <c r="K20" i="53"/>
  <c r="O19" i="53"/>
  <c r="L19" i="53"/>
  <c r="K19" i="53"/>
  <c r="O18" i="53"/>
  <c r="L18" i="53"/>
  <c r="O17" i="53"/>
  <c r="L17" i="53"/>
  <c r="K17" i="53"/>
  <c r="O16" i="53"/>
  <c r="L16" i="53"/>
  <c r="K16" i="53"/>
  <c r="O15" i="53"/>
  <c r="L15" i="53"/>
  <c r="O14" i="53"/>
  <c r="L14" i="53"/>
  <c r="K14" i="53"/>
  <c r="O13" i="53"/>
  <c r="L13" i="53"/>
  <c r="K13" i="53"/>
  <c r="O12" i="53"/>
  <c r="L12" i="53"/>
  <c r="K12" i="53"/>
  <c r="R11" i="53"/>
  <c r="P14" i="53" l="1"/>
  <c r="P17" i="53"/>
  <c r="L30" i="53"/>
  <c r="O30" i="53"/>
  <c r="H44" i="39"/>
  <c r="F44" i="40"/>
  <c r="P13" i="53"/>
  <c r="T13" i="53" s="1"/>
  <c r="P19" i="53"/>
  <c r="T19" i="53" s="1"/>
  <c r="Q13" i="54"/>
  <c r="Q17" i="54"/>
  <c r="Q20" i="54"/>
  <c r="Q6" i="54"/>
  <c r="Q18" i="54"/>
  <c r="Q11" i="54"/>
  <c r="Q21" i="54"/>
  <c r="Q16" i="54"/>
  <c r="Q8" i="54"/>
  <c r="Q12" i="54"/>
  <c r="Q22" i="54"/>
  <c r="Q19" i="54"/>
  <c r="S29" i="54"/>
  <c r="Q7" i="54"/>
  <c r="Q15" i="54"/>
  <c r="U18" i="54"/>
  <c r="U15" i="54"/>
  <c r="U22" i="54"/>
  <c r="U14" i="54"/>
  <c r="U20" i="54"/>
  <c r="U21" i="54"/>
  <c r="U17" i="54"/>
  <c r="U6" i="54"/>
  <c r="U7" i="54"/>
  <c r="U29" i="54"/>
  <c r="U8" i="54"/>
  <c r="U13" i="54"/>
  <c r="T31" i="54"/>
  <c r="F26" i="54"/>
  <c r="U19" i="54"/>
  <c r="U16" i="54"/>
  <c r="P22" i="53"/>
  <c r="T22" i="53" s="1"/>
  <c r="P15" i="53"/>
  <c r="T15" i="53" s="1"/>
  <c r="P21" i="53"/>
  <c r="T21" i="53" s="1"/>
  <c r="M15" i="53"/>
  <c r="P18" i="53"/>
  <c r="T18" i="53" s="1"/>
  <c r="P16" i="53"/>
  <c r="T16" i="53" s="1"/>
  <c r="M22" i="53"/>
  <c r="T14" i="53"/>
  <c r="T17" i="53"/>
  <c r="T20" i="53"/>
  <c r="S13" i="53"/>
  <c r="S12" i="53"/>
  <c r="S22" i="53"/>
  <c r="S21" i="53"/>
  <c r="S20" i="53"/>
  <c r="S6" i="53"/>
  <c r="S17" i="53"/>
  <c r="S16" i="53"/>
  <c r="S19" i="53"/>
  <c r="S18" i="53"/>
  <c r="S15" i="53"/>
  <c r="S14" i="53"/>
  <c r="S7" i="53"/>
  <c r="M21" i="53"/>
  <c r="P12" i="53"/>
  <c r="I61" i="40"/>
  <c r="G61" i="40"/>
  <c r="F61" i="40"/>
  <c r="E61" i="40"/>
  <c r="C61" i="40"/>
  <c r="L44" i="40"/>
  <c r="K44" i="40"/>
  <c r="J44" i="40"/>
  <c r="E44" i="40"/>
  <c r="G44" i="40"/>
  <c r="L57" i="40"/>
  <c r="L59" i="40" s="1"/>
  <c r="K57" i="40"/>
  <c r="K59" i="40" s="1"/>
  <c r="J57" i="40"/>
  <c r="L23" i="40"/>
  <c r="K23" i="40"/>
  <c r="J23" i="40"/>
  <c r="I23" i="40"/>
  <c r="K24" i="40" l="1"/>
  <c r="K25" i="40"/>
  <c r="L24" i="40"/>
  <c r="L25" i="40"/>
  <c r="J25" i="40"/>
  <c r="J24" i="40"/>
  <c r="I25" i="40"/>
  <c r="I24" i="40"/>
  <c r="H61" i="40"/>
  <c r="I44" i="40"/>
  <c r="H44" i="40"/>
  <c r="D61" i="40"/>
  <c r="Q26" i="54"/>
  <c r="Q28" i="54" s="1"/>
  <c r="U26" i="54"/>
  <c r="T32" i="54"/>
  <c r="F28" i="54"/>
  <c r="U11" i="54"/>
  <c r="M19" i="53"/>
  <c r="M20" i="53"/>
  <c r="P30" i="53"/>
  <c r="P32" i="53" s="1"/>
  <c r="Q20" i="53" s="1"/>
  <c r="M12" i="53"/>
  <c r="M13" i="53"/>
  <c r="M14" i="53"/>
  <c r="M18" i="53"/>
  <c r="M17" i="53"/>
  <c r="M16" i="53"/>
  <c r="T12" i="53"/>
  <c r="S11" i="53"/>
  <c r="S30" i="53"/>
  <c r="J27" i="40"/>
  <c r="L27" i="40"/>
  <c r="I27" i="40"/>
  <c r="C44" i="40"/>
  <c r="L58" i="40"/>
  <c r="L61" i="40" s="1"/>
  <c r="K58" i="40"/>
  <c r="K61" i="40" s="1"/>
  <c r="J59" i="40"/>
  <c r="J58" i="40"/>
  <c r="H23" i="40"/>
  <c r="H25" i="40" l="1"/>
  <c r="H24" i="40"/>
  <c r="Q16" i="53"/>
  <c r="Q6" i="53"/>
  <c r="S33" i="53"/>
  <c r="Q15" i="53"/>
  <c r="Q22" i="53"/>
  <c r="Q8" i="53"/>
  <c r="Q7" i="53"/>
  <c r="Q21" i="53"/>
  <c r="Q13" i="53"/>
  <c r="Q14" i="53"/>
  <c r="Q17" i="53"/>
  <c r="Q12" i="53"/>
  <c r="Q18" i="53"/>
  <c r="Q11" i="53"/>
  <c r="Q19" i="53"/>
  <c r="T30" i="53"/>
  <c r="T32" i="53" s="1"/>
  <c r="U8" i="53" s="1"/>
  <c r="K27" i="40"/>
  <c r="D44" i="40"/>
  <c r="J61" i="40"/>
  <c r="H27" i="40"/>
  <c r="G23" i="40"/>
  <c r="F23" i="40"/>
  <c r="E23" i="40"/>
  <c r="E25" i="40" l="1"/>
  <c r="E24" i="40"/>
  <c r="F25" i="40"/>
  <c r="F24" i="40"/>
  <c r="G25" i="40"/>
  <c r="G24" i="40"/>
  <c r="Q30" i="53"/>
  <c r="Q32" i="53" s="1"/>
  <c r="U33" i="53"/>
  <c r="U7" i="53"/>
  <c r="U6" i="53"/>
  <c r="U11" i="53" s="1"/>
  <c r="T35" i="53"/>
  <c r="F30" i="53"/>
  <c r="U19" i="53"/>
  <c r="U13" i="53"/>
  <c r="U22" i="53"/>
  <c r="U14" i="53"/>
  <c r="U20" i="53"/>
  <c r="U16" i="53"/>
  <c r="U15" i="53"/>
  <c r="U21" i="53"/>
  <c r="U18" i="53"/>
  <c r="U17" i="53"/>
  <c r="U12" i="53"/>
  <c r="F27" i="40"/>
  <c r="G27" i="40"/>
  <c r="E27" i="40"/>
  <c r="D23" i="40"/>
  <c r="D24" i="40" l="1"/>
  <c r="D25" i="40"/>
  <c r="U30" i="53"/>
  <c r="T36" i="53"/>
  <c r="F32" i="53"/>
  <c r="D27" i="40"/>
  <c r="I23" i="48"/>
  <c r="I27" i="48" s="1"/>
  <c r="E29" i="4" l="1"/>
  <c r="H29" i="48" l="1"/>
  <c r="I29" i="48" s="1"/>
  <c r="J22" i="48" s="1"/>
  <c r="J23" i="48" s="1"/>
  <c r="J27" i="48" s="1"/>
  <c r="H23" i="48"/>
  <c r="H27" i="48" l="1"/>
  <c r="H31" i="52"/>
  <c r="G31" i="52"/>
  <c r="F31" i="52"/>
  <c r="R30" i="52"/>
  <c r="R32" i="52" s="1"/>
  <c r="H30" i="52"/>
  <c r="G30" i="52"/>
  <c r="O23" i="52"/>
  <c r="L23" i="52"/>
  <c r="K23" i="52"/>
  <c r="O22" i="52"/>
  <c r="L22" i="52"/>
  <c r="O21" i="52"/>
  <c r="L21" i="52"/>
  <c r="K21" i="52"/>
  <c r="O20" i="52"/>
  <c r="L20" i="52"/>
  <c r="K20" i="52"/>
  <c r="O19" i="52"/>
  <c r="L19" i="52"/>
  <c r="O18" i="52"/>
  <c r="L18" i="52"/>
  <c r="K18" i="52"/>
  <c r="O17" i="52"/>
  <c r="L17" i="52"/>
  <c r="K17" i="52"/>
  <c r="O16" i="52"/>
  <c r="L16" i="52"/>
  <c r="O15" i="52"/>
  <c r="P15" i="52" s="1"/>
  <c r="L15" i="52"/>
  <c r="K15" i="52"/>
  <c r="O14" i="52"/>
  <c r="P14" i="52" s="1"/>
  <c r="L14" i="52"/>
  <c r="K14" i="52"/>
  <c r="O13" i="52"/>
  <c r="L13" i="52"/>
  <c r="K13" i="52"/>
  <c r="O12" i="52"/>
  <c r="L12" i="52"/>
  <c r="K12" i="52"/>
  <c r="T11" i="52"/>
  <c r="R11" i="52"/>
  <c r="P11" i="52"/>
  <c r="H31" i="46"/>
  <c r="G31" i="46"/>
  <c r="F31" i="46"/>
  <c r="H30" i="46"/>
  <c r="G30" i="46"/>
  <c r="P20" i="52" l="1"/>
  <c r="S15" i="52"/>
  <c r="S7" i="52"/>
  <c r="S13" i="52"/>
  <c r="S6" i="52"/>
  <c r="S11" i="52" s="1"/>
  <c r="S12" i="52"/>
  <c r="S21" i="52"/>
  <c r="S20" i="52"/>
  <c r="S18" i="52"/>
  <c r="S17" i="52"/>
  <c r="S16" i="52"/>
  <c r="S23" i="52"/>
  <c r="S22" i="52"/>
  <c r="S19" i="52"/>
  <c r="S14" i="52"/>
  <c r="O30" i="52"/>
  <c r="P16" i="52"/>
  <c r="P17" i="52"/>
  <c r="P21" i="52"/>
  <c r="T21" i="52" s="1"/>
  <c r="L30" i="52"/>
  <c r="M23" i="52" s="1"/>
  <c r="P22" i="52"/>
  <c r="T22" i="52" s="1"/>
  <c r="P23" i="52"/>
  <c r="T23" i="52" s="1"/>
  <c r="T15" i="52"/>
  <c r="M12" i="52"/>
  <c r="T16" i="52"/>
  <c r="T17" i="52"/>
  <c r="P12" i="52"/>
  <c r="P13" i="52"/>
  <c r="T14" i="52"/>
  <c r="P18" i="52"/>
  <c r="P19" i="52"/>
  <c r="T20" i="52"/>
  <c r="P30" i="52" l="1"/>
  <c r="P32" i="52" s="1"/>
  <c r="Q23" i="52" s="1"/>
  <c r="M13" i="52"/>
  <c r="M15" i="52"/>
  <c r="M22" i="52"/>
  <c r="Q14" i="52"/>
  <c r="M19" i="52"/>
  <c r="Q17" i="52"/>
  <c r="S33" i="52"/>
  <c r="M18" i="52"/>
  <c r="M16" i="52"/>
  <c r="M17" i="52"/>
  <c r="M20" i="52"/>
  <c r="Q20" i="52"/>
  <c r="Q21" i="52"/>
  <c r="M14" i="52"/>
  <c r="M21" i="52"/>
  <c r="S30" i="52"/>
  <c r="Q13" i="52"/>
  <c r="T13" i="52"/>
  <c r="Q19" i="52"/>
  <c r="T19" i="52"/>
  <c r="T12" i="52"/>
  <c r="Q12" i="52"/>
  <c r="Q18" i="52"/>
  <c r="T18" i="52"/>
  <c r="Q7" i="52"/>
  <c r="Q6" i="52"/>
  <c r="Q11" i="52"/>
  <c r="Q16" i="52"/>
  <c r="Q22" i="52"/>
  <c r="Q15" i="52"/>
  <c r="Q30" i="52" l="1"/>
  <c r="Q32" i="52" s="1"/>
  <c r="T30" i="52"/>
  <c r="T32" i="52" s="1"/>
  <c r="U12" i="52" s="1"/>
  <c r="G23" i="48"/>
  <c r="H23" i="27"/>
  <c r="H27" i="27" s="1"/>
  <c r="U19" i="52" l="1"/>
  <c r="U33" i="52"/>
  <c r="U7" i="52"/>
  <c r="U6" i="52"/>
  <c r="T35" i="52"/>
  <c r="F30" i="52"/>
  <c r="U23" i="52"/>
  <c r="U20" i="52"/>
  <c r="U16" i="52"/>
  <c r="U22" i="52"/>
  <c r="U17" i="52"/>
  <c r="U15" i="52"/>
  <c r="U14" i="52"/>
  <c r="U21" i="52"/>
  <c r="U18" i="52"/>
  <c r="U13" i="52"/>
  <c r="G27" i="48"/>
  <c r="R11" i="46"/>
  <c r="U30" i="52" l="1"/>
  <c r="T36" i="52"/>
  <c r="F32" i="52"/>
  <c r="U11" i="52"/>
  <c r="P11" i="46"/>
  <c r="O12" i="46" l="1"/>
  <c r="T11" i="46" l="1"/>
  <c r="L27" i="50" l="1"/>
  <c r="E25" i="50"/>
  <c r="C12" i="50"/>
  <c r="D12" i="50" s="1"/>
  <c r="E12" i="50" s="1"/>
  <c r="F12" i="50" s="1"/>
  <c r="G12" i="50" s="1"/>
  <c r="H12" i="50" s="1"/>
  <c r="I12" i="50" s="1"/>
  <c r="J12" i="50" s="1"/>
  <c r="K12" i="50" s="1"/>
  <c r="L12" i="50" s="1"/>
  <c r="G10" i="50"/>
  <c r="E10" i="50"/>
  <c r="C10" i="50"/>
  <c r="C11" i="50" s="1"/>
  <c r="F27" i="50" l="1"/>
  <c r="H27" i="50"/>
  <c r="H10" i="50"/>
  <c r="J27" i="50"/>
  <c r="G27" i="50"/>
  <c r="C27" i="50"/>
  <c r="K10" i="50"/>
  <c r="D10" i="50"/>
  <c r="D11" i="50" s="1"/>
  <c r="C13" i="50"/>
  <c r="D27" i="50"/>
  <c r="L10" i="50"/>
  <c r="F10" i="50"/>
  <c r="K27" i="50" l="1"/>
  <c r="I27" i="50"/>
  <c r="I10" i="50"/>
  <c r="E27" i="50"/>
  <c r="C29" i="50"/>
  <c r="D29" i="50" s="1"/>
  <c r="E29" i="50" s="1"/>
  <c r="G29" i="50" s="1"/>
  <c r="H29" i="50" s="1"/>
  <c r="I29" i="50" s="1"/>
  <c r="J29" i="50" s="1"/>
  <c r="K29" i="50" s="1"/>
  <c r="D13" i="50"/>
  <c r="E11" i="50"/>
  <c r="R30" i="46"/>
  <c r="R32" i="46" s="1"/>
  <c r="S7" i="46" l="1"/>
  <c r="S6" i="46"/>
  <c r="S17" i="46"/>
  <c r="S13" i="46"/>
  <c r="S18" i="46"/>
  <c r="S12" i="46"/>
  <c r="S16" i="46"/>
  <c r="S22" i="46"/>
  <c r="S14" i="46"/>
  <c r="S20" i="46"/>
  <c r="S21" i="46"/>
  <c r="S15" i="46"/>
  <c r="S23" i="46"/>
  <c r="S19" i="46"/>
  <c r="J10" i="50"/>
  <c r="E13" i="50"/>
  <c r="F11" i="50"/>
  <c r="S11" i="46" l="1"/>
  <c r="S30" i="46"/>
  <c r="G11" i="50"/>
  <c r="F13" i="50"/>
  <c r="O13" i="46"/>
  <c r="L13" i="46"/>
  <c r="K13" i="46"/>
  <c r="O16" i="46"/>
  <c r="L16" i="46"/>
  <c r="G6" i="49"/>
  <c r="C29" i="49"/>
  <c r="D29" i="49" s="1"/>
  <c r="E29" i="49" s="1"/>
  <c r="F29" i="49" s="1"/>
  <c r="F23" i="49"/>
  <c r="F27" i="49" s="1"/>
  <c r="E23" i="49"/>
  <c r="E24" i="49" s="1"/>
  <c r="E27" i="49" s="1"/>
  <c r="D23" i="49"/>
  <c r="D24" i="49" s="1"/>
  <c r="C23" i="49"/>
  <c r="C24" i="49" s="1"/>
  <c r="C12" i="49"/>
  <c r="D12" i="49" s="1"/>
  <c r="L6" i="49"/>
  <c r="L7" i="49" s="1"/>
  <c r="K6" i="49"/>
  <c r="K10" i="49" s="1"/>
  <c r="J6" i="49"/>
  <c r="J7" i="49" s="1"/>
  <c r="J10" i="49" s="1"/>
  <c r="I6" i="49"/>
  <c r="I7" i="49" s="1"/>
  <c r="I10" i="49" s="1"/>
  <c r="H6" i="49"/>
  <c r="C10" i="49"/>
  <c r="C11" i="49" s="1"/>
  <c r="P16" i="46" l="1"/>
  <c r="T16" i="46" s="1"/>
  <c r="P13" i="46"/>
  <c r="T13" i="46" s="1"/>
  <c r="H11" i="50"/>
  <c r="G13" i="50"/>
  <c r="G7" i="49"/>
  <c r="G10" i="49" s="1"/>
  <c r="C13" i="49"/>
  <c r="D10" i="49"/>
  <c r="D11" i="49" s="1"/>
  <c r="E11" i="49" s="1"/>
  <c r="E13" i="49" s="1"/>
  <c r="H7" i="49"/>
  <c r="H10" i="49" s="1"/>
  <c r="L10" i="49"/>
  <c r="C27" i="49"/>
  <c r="C28" i="49" s="1"/>
  <c r="D27" i="49"/>
  <c r="C23" i="40"/>
  <c r="C24" i="40" l="1"/>
  <c r="C25" i="40"/>
  <c r="D28" i="49"/>
  <c r="E28" i="49" s="1"/>
  <c r="F28" i="49" s="1"/>
  <c r="C27" i="40"/>
  <c r="H13" i="50"/>
  <c r="I11" i="50"/>
  <c r="D13" i="49"/>
  <c r="O23" i="46"/>
  <c r="L23" i="46"/>
  <c r="K23" i="46"/>
  <c r="L10" i="40" l="1"/>
  <c r="P23" i="46"/>
  <c r="T23" i="46" s="1"/>
  <c r="K10" i="40"/>
  <c r="J11" i="50"/>
  <c r="I13" i="50"/>
  <c r="E6" i="48"/>
  <c r="F23" i="48"/>
  <c r="E23" i="48"/>
  <c r="D23" i="48"/>
  <c r="C23" i="48"/>
  <c r="C12" i="48"/>
  <c r="D12" i="48" s="1"/>
  <c r="E12" i="48" s="1"/>
  <c r="F12" i="48" s="1"/>
  <c r="G12" i="48" s="1"/>
  <c r="H12" i="48" s="1"/>
  <c r="L6" i="48"/>
  <c r="L10" i="48" s="1"/>
  <c r="K6" i="48"/>
  <c r="J6" i="48"/>
  <c r="I6" i="48"/>
  <c r="H6" i="48"/>
  <c r="G6" i="48"/>
  <c r="F6" i="48"/>
  <c r="F10" i="48" s="1"/>
  <c r="D6" i="48"/>
  <c r="D10" i="48" s="1"/>
  <c r="C6" i="48"/>
  <c r="C10" i="48" s="1"/>
  <c r="C11" i="48" s="1"/>
  <c r="G57" i="17"/>
  <c r="D46" i="43"/>
  <c r="E46" i="43" s="1"/>
  <c r="F46" i="43" s="1"/>
  <c r="G46" i="43" s="1"/>
  <c r="H39" i="43" s="1"/>
  <c r="D29" i="43"/>
  <c r="E29" i="43" s="1"/>
  <c r="F29" i="43" s="1"/>
  <c r="G29" i="43" s="1"/>
  <c r="H29" i="43" s="1"/>
  <c r="I29" i="43" s="1"/>
  <c r="J29" i="43" s="1"/>
  <c r="K29" i="43" s="1"/>
  <c r="L29" i="43" s="1"/>
  <c r="K8" i="43"/>
  <c r="L8" i="43"/>
  <c r="L10" i="43" s="1"/>
  <c r="O22" i="46"/>
  <c r="L22" i="46"/>
  <c r="O21" i="46"/>
  <c r="L21" i="46"/>
  <c r="K21" i="46"/>
  <c r="O20" i="46"/>
  <c r="L20" i="46"/>
  <c r="K20" i="46"/>
  <c r="O19" i="46"/>
  <c r="L19" i="46"/>
  <c r="O18" i="46"/>
  <c r="L18" i="46"/>
  <c r="K18" i="46"/>
  <c r="O17" i="46"/>
  <c r="L17" i="46"/>
  <c r="K17" i="46"/>
  <c r="O15" i="46"/>
  <c r="L15" i="46"/>
  <c r="K15" i="46"/>
  <c r="O14" i="46"/>
  <c r="L14" i="46"/>
  <c r="K14" i="46"/>
  <c r="L12" i="46"/>
  <c r="P12" i="46" s="1"/>
  <c r="T12" i="46" s="1"/>
  <c r="K12" i="46"/>
  <c r="C12" i="17"/>
  <c r="D12" i="17" s="1"/>
  <c r="E12" i="17" s="1"/>
  <c r="F12" i="17" s="1"/>
  <c r="G12" i="17" s="1"/>
  <c r="H12" i="17" s="1"/>
  <c r="I12" i="17" s="1"/>
  <c r="J12" i="17" s="1"/>
  <c r="K12" i="17" s="1"/>
  <c r="L12" i="17" s="1"/>
  <c r="C29" i="17" s="1"/>
  <c r="D29" i="17" s="1"/>
  <c r="E29" i="17" s="1"/>
  <c r="F29" i="17" s="1"/>
  <c r="G29" i="17" s="1"/>
  <c r="H29" i="17" s="1"/>
  <c r="I29" i="17" s="1"/>
  <c r="J29" i="17" s="1"/>
  <c r="H46" i="43" l="1"/>
  <c r="I46" i="43" s="1"/>
  <c r="H44" i="43"/>
  <c r="F27" i="43"/>
  <c r="K10" i="43"/>
  <c r="P15" i="46"/>
  <c r="T15" i="46" s="1"/>
  <c r="P19" i="46"/>
  <c r="T19" i="46" s="1"/>
  <c r="P22" i="46"/>
  <c r="T22" i="46" s="1"/>
  <c r="P18" i="46"/>
  <c r="T18" i="46" s="1"/>
  <c r="P21" i="46"/>
  <c r="T21" i="46" s="1"/>
  <c r="P14" i="46"/>
  <c r="T14" i="46" s="1"/>
  <c r="P17" i="46"/>
  <c r="T17" i="46" s="1"/>
  <c r="P20" i="46"/>
  <c r="T20" i="46" s="1"/>
  <c r="I12" i="48"/>
  <c r="J12" i="48" s="1"/>
  <c r="K12" i="48" s="1"/>
  <c r="L12" i="48" s="1"/>
  <c r="J8" i="43"/>
  <c r="J10" i="43" s="1"/>
  <c r="H27" i="43"/>
  <c r="D44" i="43"/>
  <c r="D45" i="43" s="1"/>
  <c r="G27" i="43"/>
  <c r="L30" i="46"/>
  <c r="K27" i="43"/>
  <c r="J27" i="43"/>
  <c r="O30" i="46"/>
  <c r="K11" i="50"/>
  <c r="J13" i="50"/>
  <c r="K10" i="48"/>
  <c r="F27" i="48"/>
  <c r="E27" i="48"/>
  <c r="D27" i="48"/>
  <c r="H10" i="48"/>
  <c r="G10" i="48"/>
  <c r="E10" i="48"/>
  <c r="D11" i="48"/>
  <c r="C13" i="48"/>
  <c r="C27" i="48"/>
  <c r="I10" i="48"/>
  <c r="J10" i="48"/>
  <c r="G44" i="43"/>
  <c r="F44" i="43"/>
  <c r="E44" i="43"/>
  <c r="L27" i="43"/>
  <c r="I27" i="43"/>
  <c r="D27" i="43"/>
  <c r="D28" i="43" s="1"/>
  <c r="G10" i="17"/>
  <c r="F10" i="17"/>
  <c r="J10" i="17"/>
  <c r="K10" i="17"/>
  <c r="C10" i="17"/>
  <c r="C11" i="17" s="1"/>
  <c r="C13" i="17" s="1"/>
  <c r="E10" i="17"/>
  <c r="E27" i="17"/>
  <c r="I10" i="17"/>
  <c r="C27" i="17"/>
  <c r="G27" i="17"/>
  <c r="I27" i="17"/>
  <c r="D10" i="17"/>
  <c r="H10" i="17"/>
  <c r="L10" i="17"/>
  <c r="D27" i="17"/>
  <c r="H27" i="17"/>
  <c r="F27" i="17"/>
  <c r="J27" i="17"/>
  <c r="E45" i="43" l="1"/>
  <c r="F45" i="43" s="1"/>
  <c r="E27" i="43"/>
  <c r="T30" i="46"/>
  <c r="T32" i="46" s="1"/>
  <c r="U16" i="46" s="1"/>
  <c r="P30" i="46"/>
  <c r="P32" i="46" s="1"/>
  <c r="M15" i="46"/>
  <c r="M19" i="46"/>
  <c r="M23" i="46"/>
  <c r="M16" i="46"/>
  <c r="M13" i="46"/>
  <c r="M20" i="46"/>
  <c r="M17" i="46"/>
  <c r="M18" i="46"/>
  <c r="M22" i="46"/>
  <c r="M14" i="46"/>
  <c r="M21" i="46"/>
  <c r="M12" i="46"/>
  <c r="D30" i="43"/>
  <c r="E28" i="43"/>
  <c r="D11" i="17"/>
  <c r="D13" i="17" s="1"/>
  <c r="C29" i="48"/>
  <c r="D29" i="48" s="1"/>
  <c r="E29" i="48" s="1"/>
  <c r="F29" i="48" s="1"/>
  <c r="D47" i="43"/>
  <c r="L11" i="50"/>
  <c r="K13" i="50"/>
  <c r="E11" i="48"/>
  <c r="D13" i="48"/>
  <c r="E47" i="43" l="1"/>
  <c r="E11" i="17"/>
  <c r="F11" i="17" s="1"/>
  <c r="S33" i="46"/>
  <c r="Q7" i="46"/>
  <c r="Q6" i="46"/>
  <c r="F30" i="46"/>
  <c r="U17" i="46"/>
  <c r="U19" i="46"/>
  <c r="T35" i="46"/>
  <c r="U23" i="46"/>
  <c r="U15" i="46"/>
  <c r="U21" i="46"/>
  <c r="U13" i="46"/>
  <c r="U7" i="46"/>
  <c r="U20" i="46"/>
  <c r="U18" i="46"/>
  <c r="U6" i="46"/>
  <c r="U14" i="46"/>
  <c r="U22" i="46"/>
  <c r="U12" i="46"/>
  <c r="U33" i="46"/>
  <c r="Q17" i="46"/>
  <c r="G45" i="43"/>
  <c r="F47" i="43"/>
  <c r="E30" i="43"/>
  <c r="F28" i="43"/>
  <c r="C28" i="50"/>
  <c r="L13" i="50"/>
  <c r="E13" i="48"/>
  <c r="F11" i="48"/>
  <c r="E13" i="17"/>
  <c r="G47" i="43" l="1"/>
  <c r="H45" i="43"/>
  <c r="T36" i="46"/>
  <c r="F32" i="46"/>
  <c r="U11" i="46"/>
  <c r="U30" i="46"/>
  <c r="Q22" i="46"/>
  <c r="Q13" i="46"/>
  <c r="Q11" i="46"/>
  <c r="Q15" i="46"/>
  <c r="Q19" i="46"/>
  <c r="Q23" i="46"/>
  <c r="Q16" i="46"/>
  <c r="Q20" i="46"/>
  <c r="Q12" i="46"/>
  <c r="Q14" i="46"/>
  <c r="Q21" i="46"/>
  <c r="Q18" i="46"/>
  <c r="F13" i="48"/>
  <c r="G11" i="48"/>
  <c r="G28" i="43"/>
  <c r="F30" i="43"/>
  <c r="D28" i="50"/>
  <c r="C30" i="50"/>
  <c r="F13" i="17"/>
  <c r="G11" i="17"/>
  <c r="H47" i="43" l="1"/>
  <c r="I45" i="43"/>
  <c r="Q30" i="46"/>
  <c r="Q32" i="46" s="1"/>
  <c r="H28" i="43"/>
  <c r="G30" i="43"/>
  <c r="H11" i="48"/>
  <c r="G13" i="48"/>
  <c r="E28" i="50"/>
  <c r="D30" i="50"/>
  <c r="H11" i="17"/>
  <c r="G13" i="17"/>
  <c r="J45" i="43" l="1"/>
  <c r="I47" i="43"/>
  <c r="I11" i="48"/>
  <c r="H13" i="48"/>
  <c r="I28" i="43"/>
  <c r="H30" i="43"/>
  <c r="F28" i="50"/>
  <c r="E30" i="50"/>
  <c r="H13" i="17"/>
  <c r="I11" i="17"/>
  <c r="D46" i="4"/>
  <c r="E46" i="4" s="1"/>
  <c r="F46" i="4" s="1"/>
  <c r="G25" i="4"/>
  <c r="F25" i="4"/>
  <c r="E23" i="45"/>
  <c r="E24" i="45" s="1"/>
  <c r="D23" i="45"/>
  <c r="D24" i="45" s="1"/>
  <c r="C23" i="45"/>
  <c r="C24" i="45" s="1"/>
  <c r="C12" i="45"/>
  <c r="D12" i="45" s="1"/>
  <c r="E12" i="45" s="1"/>
  <c r="F12" i="45" s="1"/>
  <c r="I6" i="45"/>
  <c r="I10" i="45" s="1"/>
  <c r="H6" i="45"/>
  <c r="H10" i="45" s="1"/>
  <c r="G6" i="45"/>
  <c r="F6" i="45"/>
  <c r="F10" i="45" s="1"/>
  <c r="E6" i="45"/>
  <c r="D6" i="45"/>
  <c r="D10" i="45" s="1"/>
  <c r="C6" i="45"/>
  <c r="D23" i="44"/>
  <c r="E23" i="44"/>
  <c r="E27" i="44" s="1"/>
  <c r="C23" i="44"/>
  <c r="L6" i="44"/>
  <c r="J6" i="44"/>
  <c r="K6" i="44"/>
  <c r="K10" i="44" s="1"/>
  <c r="C12" i="44"/>
  <c r="D12" i="44" s="1"/>
  <c r="E12" i="44" s="1"/>
  <c r="F12" i="44" s="1"/>
  <c r="G12" i="44" s="1"/>
  <c r="H12" i="44" s="1"/>
  <c r="I12" i="44" s="1"/>
  <c r="J12" i="44" s="1"/>
  <c r="K12" i="44" s="1"/>
  <c r="L12" i="44" s="1"/>
  <c r="C29" i="44" s="1"/>
  <c r="D29" i="44" s="1"/>
  <c r="E29" i="44" s="1"/>
  <c r="F22" i="44" s="1"/>
  <c r="F23" i="44" s="1"/>
  <c r="H6" i="44"/>
  <c r="H10" i="44" s="1"/>
  <c r="G6" i="44"/>
  <c r="F6" i="44"/>
  <c r="E6" i="44"/>
  <c r="D6" i="44"/>
  <c r="C6" i="44"/>
  <c r="C12" i="43"/>
  <c r="D12" i="43" s="1"/>
  <c r="E12" i="43" s="1"/>
  <c r="F12" i="43" s="1"/>
  <c r="G12" i="43" s="1"/>
  <c r="H12" i="43" s="1"/>
  <c r="I5" i="43" s="1"/>
  <c r="G10" i="43"/>
  <c r="C10" i="43"/>
  <c r="C11" i="43" s="1"/>
  <c r="D23" i="27"/>
  <c r="D27" i="27" s="1"/>
  <c r="E23" i="27"/>
  <c r="E27" i="27" s="1"/>
  <c r="F23" i="27"/>
  <c r="F27" i="27" s="1"/>
  <c r="G23" i="27"/>
  <c r="G27" i="27" s="1"/>
  <c r="C63" i="17"/>
  <c r="D63" i="17" s="1"/>
  <c r="E63" i="17" s="1"/>
  <c r="F63" i="17" s="1"/>
  <c r="I44" i="17"/>
  <c r="J44" i="17"/>
  <c r="K44" i="17"/>
  <c r="G46" i="41"/>
  <c r="H46" i="41" s="1"/>
  <c r="I46" i="41" s="1"/>
  <c r="J46" i="41" s="1"/>
  <c r="K46" i="41" s="1"/>
  <c r="L46" i="41" s="1"/>
  <c r="C63" i="41" s="1"/>
  <c r="D46" i="41"/>
  <c r="E46" i="41" s="1"/>
  <c r="F46" i="41" s="1"/>
  <c r="E40" i="41"/>
  <c r="E42" i="41" s="1"/>
  <c r="F40" i="41"/>
  <c r="F42" i="41" s="1"/>
  <c r="G44" i="41"/>
  <c r="L29" i="41"/>
  <c r="L23" i="41"/>
  <c r="L27" i="41" s="1"/>
  <c r="D23" i="41"/>
  <c r="E23" i="41"/>
  <c r="F23" i="41"/>
  <c r="G23" i="41"/>
  <c r="H23" i="41"/>
  <c r="I23" i="41"/>
  <c r="J23" i="41"/>
  <c r="K23" i="41"/>
  <c r="C23" i="41"/>
  <c r="D12" i="41"/>
  <c r="E12" i="41" s="1"/>
  <c r="F12" i="41" s="1"/>
  <c r="G12" i="41" s="1"/>
  <c r="H12" i="41" s="1"/>
  <c r="I12" i="41" s="1"/>
  <c r="J12" i="41" s="1"/>
  <c r="K12" i="41" s="1"/>
  <c r="L12" i="41" s="1"/>
  <c r="C29" i="41" s="1"/>
  <c r="D29" i="41" s="1"/>
  <c r="E29" i="41" s="1"/>
  <c r="F29" i="41" s="1"/>
  <c r="G29" i="41" s="1"/>
  <c r="H29" i="41" s="1"/>
  <c r="I29" i="41" s="1"/>
  <c r="J29" i="41" s="1"/>
  <c r="K29" i="41" s="1"/>
  <c r="D6" i="41"/>
  <c r="E6" i="41"/>
  <c r="F6" i="41"/>
  <c r="G6" i="41"/>
  <c r="H6" i="41"/>
  <c r="I6" i="41"/>
  <c r="J6" i="41"/>
  <c r="K6" i="41"/>
  <c r="L6" i="41"/>
  <c r="C6" i="41"/>
  <c r="D40" i="41"/>
  <c r="C12" i="40"/>
  <c r="D12" i="40" s="1"/>
  <c r="E12" i="40" s="1"/>
  <c r="F12" i="40" s="1"/>
  <c r="G12" i="40" s="1"/>
  <c r="H12" i="40" s="1"/>
  <c r="I12" i="40" s="1"/>
  <c r="J12" i="40" s="1"/>
  <c r="K12" i="40" s="1"/>
  <c r="L12" i="40" s="1"/>
  <c r="C29" i="40" s="1"/>
  <c r="D29" i="40" s="1"/>
  <c r="E29" i="40" s="1"/>
  <c r="F29" i="40" s="1"/>
  <c r="G29" i="40" s="1"/>
  <c r="H29" i="40" s="1"/>
  <c r="I29" i="40" s="1"/>
  <c r="J29" i="40" s="1"/>
  <c r="K29" i="40" s="1"/>
  <c r="L29" i="40" s="1"/>
  <c r="C46" i="40" s="1"/>
  <c r="D46" i="40" s="1"/>
  <c r="E46" i="40" s="1"/>
  <c r="F46" i="40" s="1"/>
  <c r="G46" i="40" s="1"/>
  <c r="H46" i="40" s="1"/>
  <c r="I46" i="40" s="1"/>
  <c r="J46" i="40" s="1"/>
  <c r="K46" i="40" s="1"/>
  <c r="L46" i="40" s="1"/>
  <c r="C63" i="40" s="1"/>
  <c r="D63" i="40" s="1"/>
  <c r="E63" i="40" s="1"/>
  <c r="F63" i="40" s="1"/>
  <c r="G63" i="40" s="1"/>
  <c r="H63" i="40" s="1"/>
  <c r="H10" i="40"/>
  <c r="D10" i="40"/>
  <c r="F40" i="15"/>
  <c r="F41" i="15" s="1"/>
  <c r="F44" i="15" s="1"/>
  <c r="C63" i="15"/>
  <c r="D63" i="15" s="1"/>
  <c r="E63" i="15" s="1"/>
  <c r="F63" i="15" s="1"/>
  <c r="G63" i="15" s="1"/>
  <c r="H63" i="15" s="1"/>
  <c r="I63" i="15" s="1"/>
  <c r="J63" i="15" s="1"/>
  <c r="K57" i="15"/>
  <c r="K61" i="15" s="1"/>
  <c r="J57" i="15"/>
  <c r="I57" i="15"/>
  <c r="H57" i="15"/>
  <c r="H58" i="15" s="1"/>
  <c r="H61" i="15" s="1"/>
  <c r="G57" i="15"/>
  <c r="F57" i="15"/>
  <c r="E57" i="15"/>
  <c r="D57" i="15"/>
  <c r="D58" i="15" s="1"/>
  <c r="D61" i="15" s="1"/>
  <c r="C57" i="15"/>
  <c r="K40" i="15"/>
  <c r="K44" i="15" s="1"/>
  <c r="J40" i="15"/>
  <c r="J44" i="15" s="1"/>
  <c r="I40" i="15"/>
  <c r="I44" i="15" s="1"/>
  <c r="E40" i="15"/>
  <c r="D40" i="15"/>
  <c r="D41" i="15" s="1"/>
  <c r="D44" i="15" s="1"/>
  <c r="C40" i="15"/>
  <c r="C41" i="15" s="1"/>
  <c r="C44" i="15" s="1"/>
  <c r="D23" i="15"/>
  <c r="D24" i="15" s="1"/>
  <c r="D27" i="15" s="1"/>
  <c r="E23" i="15"/>
  <c r="E24" i="15" s="1"/>
  <c r="F23" i="15"/>
  <c r="G23" i="15"/>
  <c r="H23" i="15"/>
  <c r="H24" i="15" s="1"/>
  <c r="H27" i="15" s="1"/>
  <c r="I23" i="15"/>
  <c r="I24" i="15" s="1"/>
  <c r="J23" i="15"/>
  <c r="J24" i="15" s="1"/>
  <c r="K23" i="15"/>
  <c r="K27" i="15" s="1"/>
  <c r="C29" i="15"/>
  <c r="D29" i="15" s="1"/>
  <c r="E29" i="15" s="1"/>
  <c r="F29" i="15" s="1"/>
  <c r="G29" i="15" s="1"/>
  <c r="H29" i="15" s="1"/>
  <c r="I29" i="15" s="1"/>
  <c r="J29" i="15" s="1"/>
  <c r="K29" i="15" s="1"/>
  <c r="C46" i="15" s="1"/>
  <c r="D46" i="15" s="1"/>
  <c r="E46" i="15" s="1"/>
  <c r="F46" i="15" s="1"/>
  <c r="G39" i="15" s="1"/>
  <c r="C23" i="15"/>
  <c r="C24" i="15" s="1"/>
  <c r="C27" i="15" s="1"/>
  <c r="K6" i="15"/>
  <c r="K10" i="15" s="1"/>
  <c r="J6" i="15"/>
  <c r="J10" i="15" s="1"/>
  <c r="I6" i="15"/>
  <c r="I10" i="15" s="1"/>
  <c r="H6" i="15"/>
  <c r="H10" i="15" s="1"/>
  <c r="E61" i="4" l="1"/>
  <c r="D63" i="41"/>
  <c r="E63" i="41" s="1"/>
  <c r="F63" i="41" s="1"/>
  <c r="G63" i="41" s="1"/>
  <c r="H63" i="41" s="1"/>
  <c r="I63" i="41" s="1"/>
  <c r="J63" i="41" s="1"/>
  <c r="K63" i="41" s="1"/>
  <c r="L63" i="41" s="1"/>
  <c r="C80" i="41" s="1"/>
  <c r="D80" i="41" s="1"/>
  <c r="C61" i="17"/>
  <c r="D61" i="17"/>
  <c r="I12" i="43"/>
  <c r="J12" i="43" s="1"/>
  <c r="K12" i="43" s="1"/>
  <c r="L12" i="43" s="1"/>
  <c r="E44" i="41"/>
  <c r="G27" i="4"/>
  <c r="G28" i="50"/>
  <c r="F30" i="50"/>
  <c r="C29" i="45"/>
  <c r="D29" i="45" s="1"/>
  <c r="E29" i="45" s="1"/>
  <c r="F29" i="45" s="1"/>
  <c r="G12" i="45"/>
  <c r="I30" i="43"/>
  <c r="J28" i="43"/>
  <c r="F61" i="17"/>
  <c r="G46" i="4"/>
  <c r="H46" i="4" s="1"/>
  <c r="I46" i="4" s="1"/>
  <c r="J46" i="4" s="1"/>
  <c r="K46" i="4" s="1"/>
  <c r="L46" i="4" s="1"/>
  <c r="I13" i="48"/>
  <c r="J11" i="48"/>
  <c r="G40" i="15"/>
  <c r="G44" i="15" s="1"/>
  <c r="G46" i="15"/>
  <c r="H39" i="15" s="1"/>
  <c r="G24" i="15"/>
  <c r="G27" i="15" s="1"/>
  <c r="E27" i="15"/>
  <c r="I27" i="41"/>
  <c r="D44" i="41"/>
  <c r="D45" i="41" s="1"/>
  <c r="L10" i="44"/>
  <c r="F24" i="15"/>
  <c r="F27" i="15" s="1"/>
  <c r="J10" i="40"/>
  <c r="J27" i="15"/>
  <c r="G10" i="41"/>
  <c r="F27" i="41"/>
  <c r="E61" i="17"/>
  <c r="L27" i="4"/>
  <c r="H10" i="41"/>
  <c r="I27" i="15"/>
  <c r="E27" i="41"/>
  <c r="F44" i="41"/>
  <c r="C27" i="44"/>
  <c r="D27" i="44"/>
  <c r="K27" i="4"/>
  <c r="F27" i="4"/>
  <c r="D10" i="41"/>
  <c r="J10" i="44"/>
  <c r="K10" i="41"/>
  <c r="L10" i="41"/>
  <c r="J27" i="41"/>
  <c r="J11" i="17"/>
  <c r="I13" i="17"/>
  <c r="I44" i="4"/>
  <c r="E44" i="4"/>
  <c r="F44" i="4"/>
  <c r="J44" i="4"/>
  <c r="D44" i="4"/>
  <c r="D45" i="4" s="1"/>
  <c r="H44" i="4"/>
  <c r="G44" i="4"/>
  <c r="K44" i="4"/>
  <c r="E10" i="45"/>
  <c r="F23" i="45"/>
  <c r="F27" i="45" s="1"/>
  <c r="C10" i="45"/>
  <c r="C11" i="45" s="1"/>
  <c r="G10" i="45"/>
  <c r="C27" i="45"/>
  <c r="D27" i="45"/>
  <c r="E27" i="45"/>
  <c r="E10" i="44"/>
  <c r="D10" i="44"/>
  <c r="G10" i="44"/>
  <c r="C10" i="44"/>
  <c r="C11" i="44" s="1"/>
  <c r="I6" i="44"/>
  <c r="F10" i="44"/>
  <c r="E10" i="43"/>
  <c r="F10" i="43"/>
  <c r="C13" i="43"/>
  <c r="D10" i="43"/>
  <c r="D11" i="43" s="1"/>
  <c r="H10" i="43"/>
  <c r="G10" i="40"/>
  <c r="C10" i="40"/>
  <c r="C11" i="40" s="1"/>
  <c r="D11" i="40" s="1"/>
  <c r="C10" i="41"/>
  <c r="C11" i="41" s="1"/>
  <c r="E10" i="41"/>
  <c r="K27" i="41"/>
  <c r="J10" i="41"/>
  <c r="I10" i="41"/>
  <c r="G27" i="41"/>
  <c r="C27" i="41"/>
  <c r="F10" i="41"/>
  <c r="H27" i="41"/>
  <c r="D27" i="41"/>
  <c r="F10" i="40"/>
  <c r="E10" i="40"/>
  <c r="I10" i="40"/>
  <c r="E41" i="15"/>
  <c r="E44" i="15" s="1"/>
  <c r="C58" i="15"/>
  <c r="C61" i="15" s="1"/>
  <c r="G58" i="15"/>
  <c r="G61" i="15" s="1"/>
  <c r="E58" i="15"/>
  <c r="E61" i="15" s="1"/>
  <c r="I58" i="15"/>
  <c r="I61" i="15" s="1"/>
  <c r="F58" i="15"/>
  <c r="F61" i="15" s="1"/>
  <c r="J58" i="15"/>
  <c r="J61" i="15" s="1"/>
  <c r="D44" i="39"/>
  <c r="D45" i="39" s="1"/>
  <c r="E45" i="39" s="1"/>
  <c r="K29" i="39"/>
  <c r="L29" i="39"/>
  <c r="L27" i="39"/>
  <c r="K23" i="39"/>
  <c r="K27" i="39" s="1"/>
  <c r="H40" i="35"/>
  <c r="H41" i="35" s="1"/>
  <c r="D40" i="35"/>
  <c r="D41" i="35" s="1"/>
  <c r="E40" i="35"/>
  <c r="E41" i="35" s="1"/>
  <c r="F40" i="35"/>
  <c r="F42" i="35" s="1"/>
  <c r="C40" i="35"/>
  <c r="C41" i="35" s="1"/>
  <c r="G40" i="35"/>
  <c r="G42" i="35" s="1"/>
  <c r="J25" i="35"/>
  <c r="K25" i="35"/>
  <c r="E25" i="35"/>
  <c r="K8" i="35"/>
  <c r="H40" i="15" l="1"/>
  <c r="H44" i="15" s="1"/>
  <c r="I10" i="43"/>
  <c r="E47" i="39"/>
  <c r="F45" i="39"/>
  <c r="C63" i="4"/>
  <c r="H25" i="35"/>
  <c r="H27" i="35" s="1"/>
  <c r="E27" i="35"/>
  <c r="K11" i="48"/>
  <c r="J13" i="48"/>
  <c r="I25" i="35"/>
  <c r="I27" i="35" s="1"/>
  <c r="H28" i="50"/>
  <c r="G30" i="50"/>
  <c r="G25" i="35"/>
  <c r="G27" i="35" s="1"/>
  <c r="F25" i="35"/>
  <c r="F27" i="35" s="1"/>
  <c r="K28" i="43"/>
  <c r="J30" i="43"/>
  <c r="D25" i="35"/>
  <c r="D27" i="35" s="1"/>
  <c r="D42" i="35"/>
  <c r="D44" i="35" s="1"/>
  <c r="H42" i="35"/>
  <c r="H44" i="35" s="1"/>
  <c r="D47" i="41"/>
  <c r="E45" i="41"/>
  <c r="K27" i="35"/>
  <c r="J27" i="35"/>
  <c r="D11" i="44"/>
  <c r="C13" i="44"/>
  <c r="K11" i="17"/>
  <c r="J13" i="17"/>
  <c r="H61" i="4"/>
  <c r="D11" i="45"/>
  <c r="C13" i="45"/>
  <c r="F27" i="44"/>
  <c r="I10" i="44"/>
  <c r="D13" i="43"/>
  <c r="E11" i="43"/>
  <c r="C13" i="40"/>
  <c r="C13" i="41"/>
  <c r="D11" i="41"/>
  <c r="D13" i="40"/>
  <c r="E11" i="40"/>
  <c r="K10" i="35"/>
  <c r="L8" i="35"/>
  <c r="L10" i="35" s="1"/>
  <c r="C25" i="35"/>
  <c r="C27" i="35" s="1"/>
  <c r="G41" i="35"/>
  <c r="G44" i="35" s="1"/>
  <c r="F41" i="35"/>
  <c r="F44" i="35" s="1"/>
  <c r="E42" i="35"/>
  <c r="E44" i="35" s="1"/>
  <c r="C42" i="35"/>
  <c r="C44" i="35" s="1"/>
  <c r="C23" i="27"/>
  <c r="C27" i="27" s="1"/>
  <c r="D61" i="4" l="1"/>
  <c r="D63" i="4"/>
  <c r="E63" i="4" s="1"/>
  <c r="F47" i="39"/>
  <c r="G45" i="39"/>
  <c r="I28" i="50"/>
  <c r="H30" i="50"/>
  <c r="L28" i="43"/>
  <c r="L30" i="43" s="1"/>
  <c r="K30" i="43"/>
  <c r="L11" i="48"/>
  <c r="K13" i="48"/>
  <c r="D13" i="44"/>
  <c r="E11" i="44"/>
  <c r="F45" i="41"/>
  <c r="E47" i="41"/>
  <c r="L11" i="17"/>
  <c r="K13" i="17"/>
  <c r="I61" i="4"/>
  <c r="E45" i="4"/>
  <c r="D47" i="4"/>
  <c r="D13" i="45"/>
  <c r="E11" i="45"/>
  <c r="F11" i="43"/>
  <c r="E13" i="43"/>
  <c r="E11" i="41"/>
  <c r="D13" i="41"/>
  <c r="F11" i="40"/>
  <c r="E13" i="40"/>
  <c r="H6" i="35"/>
  <c r="H10" i="35" s="1"/>
  <c r="G12" i="15"/>
  <c r="H12" i="15" s="1"/>
  <c r="I12" i="15" s="1"/>
  <c r="J12" i="15" s="1"/>
  <c r="K12" i="15" s="1"/>
  <c r="G6" i="15"/>
  <c r="G10" i="15" s="1"/>
  <c r="F56" i="4" l="1"/>
  <c r="F57" i="4" s="1"/>
  <c r="F61" i="4" s="1"/>
  <c r="F63" i="4"/>
  <c r="G63" i="4" s="1"/>
  <c r="H63" i="4" s="1"/>
  <c r="I63" i="4" s="1"/>
  <c r="J63" i="4" s="1"/>
  <c r="K63" i="4" s="1"/>
  <c r="L63" i="4" s="1"/>
  <c r="C80" i="4" s="1"/>
  <c r="D80" i="4" s="1"/>
  <c r="E80" i="4" s="1"/>
  <c r="F80" i="4" s="1"/>
  <c r="G80" i="4" s="1"/>
  <c r="H80" i="4" s="1"/>
  <c r="G47" i="39"/>
  <c r="H45" i="39"/>
  <c r="L13" i="48"/>
  <c r="C28" i="48"/>
  <c r="J28" i="50"/>
  <c r="I30" i="50"/>
  <c r="G45" i="41"/>
  <c r="F47" i="41"/>
  <c r="E13" i="44"/>
  <c r="F11" i="44"/>
  <c r="H44" i="17"/>
  <c r="L13" i="17"/>
  <c r="C28" i="17"/>
  <c r="F45" i="4"/>
  <c r="E47" i="4"/>
  <c r="F11" i="45"/>
  <c r="G11" i="45" s="1"/>
  <c r="E13" i="45"/>
  <c r="G11" i="43"/>
  <c r="F13" i="43"/>
  <c r="E13" i="41"/>
  <c r="F11" i="41"/>
  <c r="G11" i="40"/>
  <c r="F13" i="40"/>
  <c r="G47" i="41" l="1"/>
  <c r="H45" i="41"/>
  <c r="I45" i="41" s="1"/>
  <c r="H47" i="39"/>
  <c r="I45" i="39"/>
  <c r="G13" i="45"/>
  <c r="H11" i="45"/>
  <c r="K28" i="50"/>
  <c r="J30" i="50"/>
  <c r="C30" i="48"/>
  <c r="D28" i="48"/>
  <c r="G11" i="44"/>
  <c r="F13" i="44"/>
  <c r="D28" i="17"/>
  <c r="C30" i="17"/>
  <c r="G45" i="4"/>
  <c r="H45" i="4" s="1"/>
  <c r="F47" i="4"/>
  <c r="F13" i="45"/>
  <c r="H11" i="43"/>
  <c r="G13" i="43"/>
  <c r="G11" i="41"/>
  <c r="F13" i="41"/>
  <c r="H11" i="40"/>
  <c r="G13" i="40"/>
  <c r="J6" i="27"/>
  <c r="J10" i="27" s="1"/>
  <c r="K6" i="27"/>
  <c r="L6" i="27"/>
  <c r="L8" i="27" s="1"/>
  <c r="H13" i="45" l="1"/>
  <c r="I11" i="45"/>
  <c r="I13" i="45" s="1"/>
  <c r="I47" i="41"/>
  <c r="J45" i="41"/>
  <c r="H47" i="41"/>
  <c r="I47" i="39"/>
  <c r="J45" i="39"/>
  <c r="E28" i="48"/>
  <c r="D30" i="48"/>
  <c r="L10" i="27"/>
  <c r="H47" i="4"/>
  <c r="I45" i="4"/>
  <c r="K30" i="50"/>
  <c r="L28" i="50"/>
  <c r="H11" i="44"/>
  <c r="G13" i="44"/>
  <c r="K10" i="27"/>
  <c r="E28" i="17"/>
  <c r="D30" i="17"/>
  <c r="G47" i="4"/>
  <c r="H13" i="43"/>
  <c r="I11" i="43"/>
  <c r="J11" i="43" s="1"/>
  <c r="H11" i="41"/>
  <c r="G13" i="41"/>
  <c r="H13" i="40"/>
  <c r="I11" i="40"/>
  <c r="J11" i="40" s="1"/>
  <c r="D47" i="39"/>
  <c r="J47" i="39" l="1"/>
  <c r="K45" i="39"/>
  <c r="J47" i="41"/>
  <c r="K45" i="41"/>
  <c r="J13" i="40"/>
  <c r="K11" i="40"/>
  <c r="K11" i="43"/>
  <c r="J13" i="43"/>
  <c r="J45" i="4"/>
  <c r="I47" i="4"/>
  <c r="F28" i="48"/>
  <c r="E30" i="48"/>
  <c r="I11" i="44"/>
  <c r="H13" i="44"/>
  <c r="F28" i="17"/>
  <c r="E30" i="17"/>
  <c r="I13" i="43"/>
  <c r="I11" i="41"/>
  <c r="H13" i="41"/>
  <c r="I13" i="40"/>
  <c r="E22" i="4"/>
  <c r="E23" i="4" s="1"/>
  <c r="E27" i="4" s="1"/>
  <c r="F29" i="4"/>
  <c r="G29" i="4" s="1"/>
  <c r="L45" i="41" l="1"/>
  <c r="K47" i="41"/>
  <c r="L45" i="39"/>
  <c r="K47" i="39"/>
  <c r="F30" i="48"/>
  <c r="G28" i="48"/>
  <c r="J47" i="4"/>
  <c r="K45" i="4"/>
  <c r="L45" i="4" s="1"/>
  <c r="L11" i="43"/>
  <c r="L13" i="43" s="1"/>
  <c r="K13" i="43"/>
  <c r="L11" i="40"/>
  <c r="K13" i="40"/>
  <c r="H29" i="4"/>
  <c r="H22" i="4"/>
  <c r="H23" i="4" s="1"/>
  <c r="J11" i="44"/>
  <c r="I13" i="44"/>
  <c r="F30" i="17"/>
  <c r="G28" i="17"/>
  <c r="J11" i="41"/>
  <c r="I13" i="41"/>
  <c r="E23" i="39"/>
  <c r="F23" i="39"/>
  <c r="G23" i="39"/>
  <c r="H23" i="39"/>
  <c r="H27" i="39" s="1"/>
  <c r="I23" i="39"/>
  <c r="D23" i="39"/>
  <c r="D27" i="39" s="1"/>
  <c r="C23" i="39"/>
  <c r="C27" i="39" s="1"/>
  <c r="L47" i="4" l="1"/>
  <c r="C62" i="4"/>
  <c r="C62" i="39"/>
  <c r="L47" i="39"/>
  <c r="L47" i="41"/>
  <c r="C62" i="41"/>
  <c r="K47" i="4"/>
  <c r="G30" i="48"/>
  <c r="H28" i="48"/>
  <c r="C28" i="40"/>
  <c r="L13" i="40"/>
  <c r="J13" i="44"/>
  <c r="K11" i="44"/>
  <c r="H27" i="4"/>
  <c r="I29" i="4"/>
  <c r="I22" i="4"/>
  <c r="I23" i="4" s="1"/>
  <c r="H28" i="17"/>
  <c r="G30" i="17"/>
  <c r="K11" i="41"/>
  <c r="J13" i="41"/>
  <c r="G27" i="39"/>
  <c r="I27" i="39"/>
  <c r="E27" i="39"/>
  <c r="L10" i="39"/>
  <c r="F27" i="39"/>
  <c r="D62" i="41" l="1"/>
  <c r="C64" i="41"/>
  <c r="D62" i="39"/>
  <c r="C64" i="39"/>
  <c r="D62" i="4"/>
  <c r="C64" i="4"/>
  <c r="C30" i="40"/>
  <c r="D28" i="40"/>
  <c r="H30" i="48"/>
  <c r="I28" i="48"/>
  <c r="I27" i="4"/>
  <c r="J29" i="4"/>
  <c r="K29" i="4" s="1"/>
  <c r="L29" i="4" s="1"/>
  <c r="J22" i="4"/>
  <c r="J23" i="4" s="1"/>
  <c r="K13" i="44"/>
  <c r="L11" i="44"/>
  <c r="I28" i="17"/>
  <c r="H30" i="17"/>
  <c r="K13" i="41"/>
  <c r="L11" i="41"/>
  <c r="C62" i="15"/>
  <c r="J10" i="39"/>
  <c r="K10" i="39"/>
  <c r="E62" i="41" l="1"/>
  <c r="D64" i="41"/>
  <c r="D64" i="4"/>
  <c r="E62" i="4"/>
  <c r="D64" i="39"/>
  <c r="E62" i="39"/>
  <c r="I30" i="48"/>
  <c r="J28" i="48"/>
  <c r="D30" i="40"/>
  <c r="E28" i="40"/>
  <c r="L13" i="44"/>
  <c r="C28" i="44"/>
  <c r="J27" i="4"/>
  <c r="J28" i="17"/>
  <c r="J30" i="17" s="1"/>
  <c r="I30" i="17"/>
  <c r="C28" i="45"/>
  <c r="L13" i="41"/>
  <c r="C28" i="41"/>
  <c r="D62" i="15"/>
  <c r="I10" i="39"/>
  <c r="H10" i="39"/>
  <c r="F62" i="41" l="1"/>
  <c r="E64" i="41"/>
  <c r="F62" i="39"/>
  <c r="F64" i="39" s="1"/>
  <c r="E64" i="39"/>
  <c r="J30" i="48"/>
  <c r="K28" i="48"/>
  <c r="E64" i="4"/>
  <c r="F62" i="4"/>
  <c r="G62" i="4" s="1"/>
  <c r="E30" i="40"/>
  <c r="F28" i="40"/>
  <c r="D28" i="41"/>
  <c r="C30" i="41"/>
  <c r="C30" i="44"/>
  <c r="D28" i="44"/>
  <c r="D28" i="45"/>
  <c r="E62" i="15"/>
  <c r="G10" i="35"/>
  <c r="K30" i="48" l="1"/>
  <c r="L28" i="48"/>
  <c r="L30" i="48" s="1"/>
  <c r="G64" i="4"/>
  <c r="H62" i="4"/>
  <c r="F64" i="41"/>
  <c r="G62" i="41"/>
  <c r="F30" i="40"/>
  <c r="G28" i="40"/>
  <c r="E28" i="44"/>
  <c r="D30" i="44"/>
  <c r="E28" i="41"/>
  <c r="D30" i="41"/>
  <c r="E28" i="45"/>
  <c r="F62" i="15"/>
  <c r="H64" i="4" l="1"/>
  <c r="I62" i="4"/>
  <c r="G64" i="41"/>
  <c r="H62" i="41"/>
  <c r="G30" i="40"/>
  <c r="H28" i="40"/>
  <c r="E30" i="44"/>
  <c r="F28" i="44"/>
  <c r="F28" i="41"/>
  <c r="E30" i="41"/>
  <c r="F28" i="45"/>
  <c r="G62" i="15"/>
  <c r="G10" i="39"/>
  <c r="I64" i="4" l="1"/>
  <c r="J62" i="4"/>
  <c r="I62" i="41"/>
  <c r="H64" i="41"/>
  <c r="F30" i="44"/>
  <c r="G28" i="44"/>
  <c r="G30" i="44" s="1"/>
  <c r="H30" i="40"/>
  <c r="I28" i="40"/>
  <c r="G28" i="41"/>
  <c r="F30" i="41"/>
  <c r="H62" i="15"/>
  <c r="C12" i="39"/>
  <c r="D12" i="39" s="1"/>
  <c r="E12" i="39" s="1"/>
  <c r="F12" i="39" s="1"/>
  <c r="G12" i="39" s="1"/>
  <c r="H12" i="39" s="1"/>
  <c r="I12" i="39" s="1"/>
  <c r="J12" i="39" s="1"/>
  <c r="K12" i="39" s="1"/>
  <c r="L12" i="39" s="1"/>
  <c r="C29" i="39" s="1"/>
  <c r="D29" i="39" s="1"/>
  <c r="E29" i="39" s="1"/>
  <c r="F29" i="39" s="1"/>
  <c r="G29" i="39" s="1"/>
  <c r="H29" i="39" s="1"/>
  <c r="I29" i="39" s="1"/>
  <c r="J22" i="39" s="1"/>
  <c r="J64" i="4" l="1"/>
  <c r="K62" i="4"/>
  <c r="J62" i="41"/>
  <c r="I64" i="41"/>
  <c r="I30" i="40"/>
  <c r="J28" i="40"/>
  <c r="J29" i="39"/>
  <c r="J23" i="39"/>
  <c r="H28" i="41"/>
  <c r="G30" i="41"/>
  <c r="I62" i="15"/>
  <c r="F10" i="39"/>
  <c r="C10" i="39"/>
  <c r="C11" i="39" s="1"/>
  <c r="D10" i="39"/>
  <c r="E10" i="39"/>
  <c r="K64" i="4" l="1"/>
  <c r="L62" i="4"/>
  <c r="K62" i="41"/>
  <c r="J64" i="41"/>
  <c r="J30" i="40"/>
  <c r="K28" i="40"/>
  <c r="I28" i="41"/>
  <c r="H30" i="41"/>
  <c r="J62" i="15"/>
  <c r="D11" i="39"/>
  <c r="C13" i="39"/>
  <c r="C79" i="4" l="1"/>
  <c r="L64" i="4"/>
  <c r="K64" i="41"/>
  <c r="L62" i="41"/>
  <c r="K30" i="40"/>
  <c r="L28" i="40"/>
  <c r="J28" i="41"/>
  <c r="I30" i="41"/>
  <c r="K62" i="15"/>
  <c r="E11" i="39"/>
  <c r="D13" i="39"/>
  <c r="D79" i="4" l="1"/>
  <c r="C81" i="4"/>
  <c r="L64" i="41"/>
  <c r="C79" i="41"/>
  <c r="L30" i="40"/>
  <c r="C45" i="40"/>
  <c r="K28" i="41"/>
  <c r="J30" i="41"/>
  <c r="E13" i="39"/>
  <c r="F11" i="39"/>
  <c r="E79" i="4" l="1"/>
  <c r="D81" i="4"/>
  <c r="D79" i="41"/>
  <c r="C81" i="41"/>
  <c r="C47" i="40"/>
  <c r="D45" i="40"/>
  <c r="L28" i="41"/>
  <c r="L30" i="41" s="1"/>
  <c r="K30" i="41"/>
  <c r="F13" i="39"/>
  <c r="G11" i="39"/>
  <c r="E81" i="4" l="1"/>
  <c r="F79" i="4"/>
  <c r="E79" i="41"/>
  <c r="E81" i="41" s="1"/>
  <c r="D81" i="41"/>
  <c r="D47" i="40"/>
  <c r="E45" i="40"/>
  <c r="G13" i="39"/>
  <c r="H11" i="39"/>
  <c r="F81" i="4" l="1"/>
  <c r="G79" i="4"/>
  <c r="E47" i="40"/>
  <c r="F45" i="40"/>
  <c r="H13" i="39"/>
  <c r="I11" i="39"/>
  <c r="G81" i="4" l="1"/>
  <c r="H79" i="4"/>
  <c r="H81" i="4" s="1"/>
  <c r="F47" i="40"/>
  <c r="G45" i="40"/>
  <c r="I13" i="39"/>
  <c r="J11" i="39"/>
  <c r="G47" i="40" l="1"/>
  <c r="H45" i="40"/>
  <c r="J13" i="39"/>
  <c r="K11" i="39"/>
  <c r="F10" i="35"/>
  <c r="E10" i="35"/>
  <c r="C12" i="35"/>
  <c r="D12" i="35" s="1"/>
  <c r="E12" i="35" s="1"/>
  <c r="F12" i="35" s="1"/>
  <c r="G12" i="35" s="1"/>
  <c r="H12" i="35" s="1"/>
  <c r="C10" i="35"/>
  <c r="C11" i="35" s="1"/>
  <c r="H47" i="40" l="1"/>
  <c r="I45" i="40"/>
  <c r="I5" i="35"/>
  <c r="I6" i="35" s="1"/>
  <c r="I10" i="35" s="1"/>
  <c r="I12" i="35"/>
  <c r="K13" i="39"/>
  <c r="L11" i="39"/>
  <c r="C13" i="35"/>
  <c r="D10" i="35"/>
  <c r="D11" i="35" s="1"/>
  <c r="I47" i="40" l="1"/>
  <c r="J45" i="40"/>
  <c r="J12" i="35"/>
  <c r="K12" i="35" s="1"/>
  <c r="L12" i="35" s="1"/>
  <c r="C29" i="35" s="1"/>
  <c r="D29" i="35" s="1"/>
  <c r="E29" i="35" s="1"/>
  <c r="F29" i="35" s="1"/>
  <c r="G29" i="35" s="1"/>
  <c r="H29" i="35" s="1"/>
  <c r="I29" i="35" s="1"/>
  <c r="J29" i="35" s="1"/>
  <c r="K29" i="35" s="1"/>
  <c r="C46" i="35" s="1"/>
  <c r="D46" i="35" s="1"/>
  <c r="E46" i="35" s="1"/>
  <c r="F46" i="35" s="1"/>
  <c r="G46" i="35" s="1"/>
  <c r="H46" i="35" s="1"/>
  <c r="J5" i="35"/>
  <c r="J6" i="35" s="1"/>
  <c r="J10" i="35" s="1"/>
  <c r="L13" i="39"/>
  <c r="D13" i="35"/>
  <c r="E11" i="35"/>
  <c r="J47" i="40" l="1"/>
  <c r="K45" i="40"/>
  <c r="D28" i="39"/>
  <c r="C30" i="39"/>
  <c r="E13" i="35"/>
  <c r="F11" i="35"/>
  <c r="K47" i="40" l="1"/>
  <c r="L45" i="40"/>
  <c r="D30" i="39"/>
  <c r="E28" i="39"/>
  <c r="F13" i="35"/>
  <c r="G11" i="35"/>
  <c r="H6" i="27"/>
  <c r="I6" i="27"/>
  <c r="L47" i="40" l="1"/>
  <c r="C62" i="40"/>
  <c r="G13" i="35"/>
  <c r="H11" i="35"/>
  <c r="E30" i="39"/>
  <c r="F28" i="39"/>
  <c r="H10" i="27"/>
  <c r="I10" i="27"/>
  <c r="C64" i="40" l="1"/>
  <c r="D62" i="40"/>
  <c r="I11" i="35"/>
  <c r="H13" i="35"/>
  <c r="F30" i="39"/>
  <c r="G28" i="39"/>
  <c r="D6" i="27"/>
  <c r="D10" i="27" s="1"/>
  <c r="E6" i="27"/>
  <c r="F6" i="27"/>
  <c r="G6" i="27"/>
  <c r="G10" i="27" s="1"/>
  <c r="C12" i="27"/>
  <c r="D12" i="27" s="1"/>
  <c r="E12" i="27" s="1"/>
  <c r="F12" i="27" s="1"/>
  <c r="G12" i="27" s="1"/>
  <c r="H12" i="27" s="1"/>
  <c r="I12" i="27" s="1"/>
  <c r="J12" i="27" s="1"/>
  <c r="K12" i="27" s="1"/>
  <c r="L12" i="27" s="1"/>
  <c r="C6" i="27"/>
  <c r="C10" i="27" s="1"/>
  <c r="C11" i="27" s="1"/>
  <c r="D64" i="40" l="1"/>
  <c r="E62" i="40"/>
  <c r="I13" i="35"/>
  <c r="J11" i="35"/>
  <c r="H28" i="39"/>
  <c r="G30" i="39"/>
  <c r="C13" i="27"/>
  <c r="D11" i="27"/>
  <c r="F10" i="27"/>
  <c r="E10" i="27"/>
  <c r="E64" i="40" l="1"/>
  <c r="F62" i="40"/>
  <c r="J13" i="35"/>
  <c r="K11" i="35"/>
  <c r="I28" i="39"/>
  <c r="H30" i="39"/>
  <c r="E11" i="27"/>
  <c r="F11" i="27" s="1"/>
  <c r="G11" i="27" s="1"/>
  <c r="H11" i="27" s="1"/>
  <c r="H13" i="27" s="1"/>
  <c r="D13" i="27"/>
  <c r="F64" i="40" l="1"/>
  <c r="G62" i="40"/>
  <c r="E13" i="27"/>
  <c r="F13" i="27"/>
  <c r="L11" i="35"/>
  <c r="K13" i="35"/>
  <c r="I11" i="27"/>
  <c r="I13" i="27" s="1"/>
  <c r="G13" i="27"/>
  <c r="I30" i="39"/>
  <c r="J28" i="39"/>
  <c r="F10" i="15"/>
  <c r="J11" i="27" l="1"/>
  <c r="K11" i="27" s="1"/>
  <c r="G64" i="40"/>
  <c r="H62" i="40"/>
  <c r="C28" i="35"/>
  <c r="L13" i="35"/>
  <c r="K28" i="39"/>
  <c r="J30" i="39"/>
  <c r="D46" i="17"/>
  <c r="E46" i="17" s="1"/>
  <c r="F46" i="17" s="1"/>
  <c r="C47" i="17"/>
  <c r="J13" i="27" l="1"/>
  <c r="H64" i="40"/>
  <c r="I62" i="40"/>
  <c r="D28" i="35"/>
  <c r="C30" i="35"/>
  <c r="L28" i="39"/>
  <c r="L30" i="39" s="1"/>
  <c r="K30" i="39"/>
  <c r="L11" i="27"/>
  <c r="K13" i="27"/>
  <c r="E44" i="17"/>
  <c r="D44" i="17"/>
  <c r="D45" i="17" s="1"/>
  <c r="D47" i="17" s="1"/>
  <c r="G44" i="17"/>
  <c r="F44" i="17"/>
  <c r="E28" i="35" l="1"/>
  <c r="D30" i="35"/>
  <c r="L13" i="27"/>
  <c r="C28" i="27"/>
  <c r="E45" i="17"/>
  <c r="D6" i="15"/>
  <c r="E6" i="15"/>
  <c r="F28" i="35" l="1"/>
  <c r="E30" i="35"/>
  <c r="E10" i="15"/>
  <c r="C30" i="27"/>
  <c r="D28" i="27"/>
  <c r="F45" i="17"/>
  <c r="E47" i="17"/>
  <c r="D10" i="15"/>
  <c r="C12" i="15"/>
  <c r="D12" i="15" s="1"/>
  <c r="E12" i="15" s="1"/>
  <c r="F12" i="15" s="1"/>
  <c r="C6" i="15"/>
  <c r="G28" i="35" l="1"/>
  <c r="F30" i="35"/>
  <c r="E28" i="27"/>
  <c r="D30" i="27"/>
  <c r="F47" i="17"/>
  <c r="G45" i="17"/>
  <c r="C10" i="15"/>
  <c r="C11" i="15" s="1"/>
  <c r="H28" i="35" l="1"/>
  <c r="G30" i="35"/>
  <c r="F28" i="27"/>
  <c r="E30" i="27"/>
  <c r="G47" i="17"/>
  <c r="H45" i="17"/>
  <c r="C13" i="15"/>
  <c r="D11" i="15"/>
  <c r="E11" i="15" s="1"/>
  <c r="I28" i="35" l="1"/>
  <c r="H30" i="35"/>
  <c r="H47" i="17"/>
  <c r="I45" i="17"/>
  <c r="G28" i="27"/>
  <c r="F30" i="27"/>
  <c r="D13" i="15"/>
  <c r="G30" i="27" l="1"/>
  <c r="H28" i="27"/>
  <c r="J28" i="35"/>
  <c r="I30" i="35"/>
  <c r="J45" i="17"/>
  <c r="I47" i="17"/>
  <c r="E13" i="15"/>
  <c r="F11" i="15"/>
  <c r="H30" i="27" l="1"/>
  <c r="I28" i="27"/>
  <c r="K28" i="35"/>
  <c r="J30" i="35"/>
  <c r="F13" i="15"/>
  <c r="G11" i="15"/>
  <c r="K45" i="17"/>
  <c r="J47" i="17"/>
  <c r="I23" i="5"/>
  <c r="I24" i="5" s="1"/>
  <c r="I27" i="5" s="1"/>
  <c r="J23" i="5"/>
  <c r="J24" i="5" s="1"/>
  <c r="J27" i="5" s="1"/>
  <c r="I30" i="27" l="1"/>
  <c r="J28" i="27"/>
  <c r="C45" i="35"/>
  <c r="K30" i="35"/>
  <c r="K47" i="17"/>
  <c r="C62" i="17"/>
  <c r="H11" i="15"/>
  <c r="G13" i="15"/>
  <c r="G23" i="5"/>
  <c r="H23" i="5"/>
  <c r="J30" i="27" l="1"/>
  <c r="K28" i="27"/>
  <c r="K30" i="27" s="1"/>
  <c r="D45" i="35"/>
  <c r="C47" i="35"/>
  <c r="H13" i="15"/>
  <c r="I11" i="15"/>
  <c r="D62" i="17"/>
  <c r="C64" i="17"/>
  <c r="H24" i="5"/>
  <c r="H27" i="5" s="1"/>
  <c r="G24" i="5"/>
  <c r="G27" i="5" s="1"/>
  <c r="F23" i="5"/>
  <c r="F24" i="5" s="1"/>
  <c r="E45" i="35" l="1"/>
  <c r="D47" i="35"/>
  <c r="E62" i="17"/>
  <c r="D64" i="17"/>
  <c r="I13" i="15"/>
  <c r="J11" i="15"/>
  <c r="F27" i="5"/>
  <c r="E23" i="5"/>
  <c r="F45" i="35" l="1"/>
  <c r="E47" i="35"/>
  <c r="K11" i="15"/>
  <c r="J13" i="15"/>
  <c r="F62" i="17"/>
  <c r="E64" i="17"/>
  <c r="E24" i="5"/>
  <c r="E27" i="5" s="1"/>
  <c r="C27" i="4"/>
  <c r="G45" i="35" l="1"/>
  <c r="F47" i="35"/>
  <c r="F64" i="17"/>
  <c r="G62" i="17"/>
  <c r="K13" i="15"/>
  <c r="L11" i="15"/>
  <c r="G64" i="17" l="1"/>
  <c r="H62" i="17"/>
  <c r="H64" i="17" s="1"/>
  <c r="H45" i="35"/>
  <c r="G47" i="35"/>
  <c r="C28" i="15"/>
  <c r="L13" i="15"/>
  <c r="L10" i="4"/>
  <c r="D23" i="5"/>
  <c r="C23" i="5"/>
  <c r="J6" i="5"/>
  <c r="K6" i="5"/>
  <c r="L6" i="5"/>
  <c r="L7" i="5" s="1"/>
  <c r="I6" i="5"/>
  <c r="I7" i="5" s="1"/>
  <c r="I10" i="5" s="1"/>
  <c r="D6" i="5"/>
  <c r="D7" i="5" s="1"/>
  <c r="E6" i="5"/>
  <c r="E7" i="5" s="1"/>
  <c r="F6" i="5"/>
  <c r="G6" i="5"/>
  <c r="H6" i="5"/>
  <c r="H7" i="5" s="1"/>
  <c r="C6" i="5"/>
  <c r="C7" i="5" s="1"/>
  <c r="C10" i="5" s="1"/>
  <c r="C11" i="5" s="1"/>
  <c r="C12" i="5"/>
  <c r="D12" i="5" s="1"/>
  <c r="E12" i="5" s="1"/>
  <c r="F12" i="5" s="1"/>
  <c r="G12" i="5" s="1"/>
  <c r="H12" i="5" s="1"/>
  <c r="I12" i="5" s="1"/>
  <c r="J12" i="5" s="1"/>
  <c r="K12" i="5" s="1"/>
  <c r="L12" i="5" s="1"/>
  <c r="C29" i="5" s="1"/>
  <c r="D29" i="5" s="1"/>
  <c r="E29" i="5" s="1"/>
  <c r="F29" i="5" s="1"/>
  <c r="G29" i="5" s="1"/>
  <c r="H29" i="5" s="1"/>
  <c r="I29" i="5" s="1"/>
  <c r="J29" i="5" s="1"/>
  <c r="C12" i="4"/>
  <c r="D12" i="4" s="1"/>
  <c r="E12" i="4" s="1"/>
  <c r="F12" i="4" s="1"/>
  <c r="G12" i="4" s="1"/>
  <c r="H12" i="4" s="1"/>
  <c r="I12" i="4" s="1"/>
  <c r="J12" i="4" s="1"/>
  <c r="K12" i="4" s="1"/>
  <c r="L12" i="4" s="1"/>
  <c r="C29" i="4" s="1"/>
  <c r="D27" i="4" s="1"/>
  <c r="D10" i="4"/>
  <c r="E10" i="4"/>
  <c r="F10" i="4"/>
  <c r="G10" i="4"/>
  <c r="C30" i="15" l="1"/>
  <c r="D28" i="15"/>
  <c r="D24" i="5"/>
  <c r="D27" i="5" s="1"/>
  <c r="G7" i="5"/>
  <c r="G10" i="5" s="1"/>
  <c r="F7" i="5"/>
  <c r="F10" i="5" s="1"/>
  <c r="K10" i="4"/>
  <c r="J10" i="4"/>
  <c r="I10" i="4"/>
  <c r="E10" i="5"/>
  <c r="K7" i="5"/>
  <c r="K10" i="5" s="1"/>
  <c r="H10" i="4"/>
  <c r="H10" i="5"/>
  <c r="J7" i="5"/>
  <c r="J10" i="5" s="1"/>
  <c r="C24" i="5"/>
  <c r="C27" i="5" s="1"/>
  <c r="L10" i="5"/>
  <c r="D10" i="5"/>
  <c r="D11" i="5" s="1"/>
  <c r="C13" i="5"/>
  <c r="C10" i="4"/>
  <c r="C11" i="4" s="1"/>
  <c r="D11" i="4" s="1"/>
  <c r="D30" i="15" l="1"/>
  <c r="E28" i="15"/>
  <c r="D13" i="5"/>
  <c r="E11" i="5"/>
  <c r="C13" i="4"/>
  <c r="E30" i="15" l="1"/>
  <c r="F28" i="15"/>
  <c r="F11" i="5"/>
  <c r="E13" i="5"/>
  <c r="E11" i="4"/>
  <c r="D13" i="4"/>
  <c r="F30" i="15" l="1"/>
  <c r="G28" i="15"/>
  <c r="G11" i="5"/>
  <c r="F13" i="5"/>
  <c r="F11" i="4"/>
  <c r="E13" i="4"/>
  <c r="H28" i="15" l="1"/>
  <c r="G30" i="15"/>
  <c r="H11" i="5"/>
  <c r="G13" i="5"/>
  <c r="G11" i="4"/>
  <c r="H11" i="4" s="1"/>
  <c r="I11" i="4" s="1"/>
  <c r="J11" i="4" s="1"/>
  <c r="K11" i="4" s="1"/>
  <c r="L11" i="4" s="1"/>
  <c r="F13" i="4"/>
  <c r="I28" i="15" l="1"/>
  <c r="H30" i="15"/>
  <c r="H13" i="5"/>
  <c r="I11" i="5"/>
  <c r="G13" i="4"/>
  <c r="J28" i="15" l="1"/>
  <c r="I30" i="15"/>
  <c r="H13" i="4"/>
  <c r="I13" i="5"/>
  <c r="J11" i="5"/>
  <c r="K28" i="15" l="1"/>
  <c r="J30" i="15"/>
  <c r="J13" i="5"/>
  <c r="K11" i="5"/>
  <c r="I13" i="4"/>
  <c r="K30" i="15" l="1"/>
  <c r="C45" i="15"/>
  <c r="J13" i="4"/>
  <c r="L11" i="5"/>
  <c r="K13" i="5"/>
  <c r="C47" i="15" l="1"/>
  <c r="D45" i="15"/>
  <c r="K13" i="4"/>
  <c r="C28" i="5"/>
  <c r="L13" i="5"/>
  <c r="E45" i="15" l="1"/>
  <c r="D47" i="15"/>
  <c r="C30" i="5"/>
  <c r="D28" i="5"/>
  <c r="C28" i="4"/>
  <c r="L13" i="4"/>
  <c r="F45" i="15" l="1"/>
  <c r="E47" i="15"/>
  <c r="C30" i="4"/>
  <c r="D28" i="4"/>
  <c r="E28" i="5"/>
  <c r="D30" i="5"/>
  <c r="D30" i="4" l="1"/>
  <c r="E28" i="4"/>
  <c r="F47" i="15"/>
  <c r="G45" i="15"/>
  <c r="F28" i="5"/>
  <c r="E30" i="5"/>
  <c r="G47" i="15" l="1"/>
  <c r="H45" i="15"/>
  <c r="H47" i="15" s="1"/>
  <c r="F28" i="4"/>
  <c r="E30" i="4"/>
  <c r="F30" i="5"/>
  <c r="G28" i="5"/>
  <c r="G28" i="4" l="1"/>
  <c r="F30" i="4"/>
  <c r="H28" i="5"/>
  <c r="G30" i="5"/>
  <c r="G30" i="4" l="1"/>
  <c r="H28" i="4"/>
  <c r="H30" i="5"/>
  <c r="I28" i="5"/>
  <c r="H30" i="4" l="1"/>
  <c r="I28" i="4"/>
  <c r="J28" i="5"/>
  <c r="J30" i="5" s="1"/>
  <c r="I30" i="5"/>
  <c r="J28" i="4" l="1"/>
  <c r="I30" i="4"/>
  <c r="K28" i="4" l="1"/>
  <c r="J30" i="4"/>
  <c r="L28" i="4" l="1"/>
  <c r="L30" i="4" s="1"/>
  <c r="K30" i="4"/>
  <c r="F64" i="4"/>
</calcChain>
</file>

<file path=xl/sharedStrings.xml><?xml version="1.0" encoding="utf-8"?>
<sst xmlns="http://schemas.openxmlformats.org/spreadsheetml/2006/main" count="3262" uniqueCount="695">
  <si>
    <t>a</t>
    <phoneticPr fontId="1" type="noConversion"/>
  </si>
  <si>
    <t>年度</t>
    <phoneticPr fontId="1" type="noConversion"/>
  </si>
  <si>
    <t>107</t>
    <phoneticPr fontId="1" type="noConversion"/>
  </si>
  <si>
    <t>b</t>
    <phoneticPr fontId="1" type="noConversion"/>
  </si>
  <si>
    <t>日期</t>
    <phoneticPr fontId="1" type="noConversion"/>
  </si>
  <si>
    <t>c</t>
    <phoneticPr fontId="1" type="noConversion"/>
  </si>
  <si>
    <t>買賣價</t>
    <phoneticPr fontId="1" type="noConversion"/>
  </si>
  <si>
    <t>d</t>
    <phoneticPr fontId="1" type="noConversion"/>
  </si>
  <si>
    <t>張數</t>
    <phoneticPr fontId="1" type="noConversion"/>
  </si>
  <si>
    <t>e</t>
    <phoneticPr fontId="1" type="noConversion"/>
  </si>
  <si>
    <t>金額</t>
    <phoneticPr fontId="1" type="noConversion"/>
  </si>
  <si>
    <t>f</t>
    <phoneticPr fontId="1" type="noConversion"/>
  </si>
  <si>
    <t>手續費</t>
    <phoneticPr fontId="1" type="noConversion"/>
  </si>
  <si>
    <t>g</t>
    <phoneticPr fontId="1" type="noConversion"/>
  </si>
  <si>
    <t>交易稅</t>
    <phoneticPr fontId="1" type="noConversion"/>
  </si>
  <si>
    <t>h</t>
    <phoneticPr fontId="1" type="noConversion"/>
  </si>
  <si>
    <t>補充保費</t>
    <phoneticPr fontId="1" type="noConversion"/>
  </si>
  <si>
    <t>i</t>
    <phoneticPr fontId="1" type="noConversion"/>
  </si>
  <si>
    <t>累計</t>
    <phoneticPr fontId="1" type="noConversion"/>
  </si>
  <si>
    <t>j</t>
    <phoneticPr fontId="1" type="noConversion"/>
  </si>
  <si>
    <t>實累計</t>
    <phoneticPr fontId="1" type="noConversion"/>
  </si>
  <si>
    <t>k</t>
    <phoneticPr fontId="1" type="noConversion"/>
  </si>
  <si>
    <t>餘張數</t>
    <phoneticPr fontId="1" type="noConversion"/>
  </si>
  <si>
    <t>l</t>
    <phoneticPr fontId="1" type="noConversion"/>
  </si>
  <si>
    <t>元/股</t>
    <phoneticPr fontId="1" type="noConversion"/>
  </si>
  <si>
    <t>m</t>
    <phoneticPr fontId="1" type="noConversion"/>
  </si>
  <si>
    <t>日均價</t>
    <phoneticPr fontId="1" type="noConversion"/>
  </si>
  <si>
    <t>n</t>
    <phoneticPr fontId="1" type="noConversion"/>
  </si>
  <si>
    <t>配現金</t>
    <phoneticPr fontId="1" type="noConversion"/>
  </si>
  <si>
    <t>o</t>
    <phoneticPr fontId="1" type="noConversion"/>
  </si>
  <si>
    <t>配股票</t>
    <phoneticPr fontId="1" type="noConversion"/>
  </si>
  <si>
    <t>年度</t>
    <phoneticPr fontId="1" type="noConversion"/>
  </si>
  <si>
    <t>2834台企銀</t>
    <phoneticPr fontId="1" type="noConversion"/>
  </si>
  <si>
    <t>2535達欣工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</si>
  <si>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</si>
  <si>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</si>
  <si>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</si>
  <si>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</si>
  <si>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5-1</t>
    <phoneticPr fontId="1" type="noConversion"/>
  </si>
  <si>
    <t>5-2</t>
    <phoneticPr fontId="1" type="noConversion"/>
  </si>
  <si>
    <t>107</t>
  </si>
  <si>
    <t>1-1</t>
    <phoneticPr fontId="1" type="noConversion"/>
  </si>
  <si>
    <t>1-2</t>
    <phoneticPr fontId="1" type="noConversion"/>
  </si>
  <si>
    <t>2-1</t>
    <phoneticPr fontId="1" type="noConversion"/>
  </si>
  <si>
    <t>2-2</t>
    <phoneticPr fontId="1" type="noConversion"/>
  </si>
  <si>
    <t>3-1</t>
    <phoneticPr fontId="1" type="noConversion"/>
  </si>
  <si>
    <t>3-2</t>
    <phoneticPr fontId="1" type="noConversion"/>
  </si>
  <si>
    <t>4</t>
    <phoneticPr fontId="1" type="noConversion"/>
  </si>
  <si>
    <t>9/17(一)</t>
    <phoneticPr fontId="1" type="noConversion"/>
  </si>
  <si>
    <t>9/20(四)</t>
    <phoneticPr fontId="1" type="noConversion"/>
  </si>
  <si>
    <t>9/21(五)</t>
    <phoneticPr fontId="1" type="noConversion"/>
  </si>
  <si>
    <t>9/25(二)</t>
    <phoneticPr fontId="1" type="noConversion"/>
  </si>
  <si>
    <t>10/5(五)</t>
    <phoneticPr fontId="1" type="noConversion"/>
  </si>
  <si>
    <t>10/3(三)</t>
    <phoneticPr fontId="1" type="noConversion"/>
  </si>
  <si>
    <t>10/4(四)</t>
    <phoneticPr fontId="1" type="noConversion"/>
  </si>
  <si>
    <t>107</t>
    <phoneticPr fontId="1" type="noConversion"/>
  </si>
  <si>
    <t>10/9(二)</t>
    <phoneticPr fontId="1" type="noConversion"/>
  </si>
  <si>
    <t>6-1</t>
    <phoneticPr fontId="1" type="noConversion"/>
  </si>
  <si>
    <t>6-2</t>
    <phoneticPr fontId="1" type="noConversion"/>
  </si>
  <si>
    <t>6-3</t>
    <phoneticPr fontId="1" type="noConversion"/>
  </si>
  <si>
    <t>107</t>
    <phoneticPr fontId="1" type="noConversion"/>
  </si>
  <si>
    <t>10/11(四)</t>
    <phoneticPr fontId="1" type="noConversion"/>
  </si>
  <si>
    <t>5-1</t>
    <phoneticPr fontId="1" type="noConversion"/>
  </si>
  <si>
    <t>5-3</t>
    <phoneticPr fontId="1" type="noConversion"/>
  </si>
  <si>
    <t>5-2</t>
    <phoneticPr fontId="1" type="noConversion"/>
  </si>
  <si>
    <t>5-4</t>
    <phoneticPr fontId="1" type="noConversion"/>
  </si>
  <si>
    <t>6</t>
    <phoneticPr fontId="1" type="noConversion"/>
  </si>
  <si>
    <t>107</t>
    <phoneticPr fontId="1" type="noConversion"/>
  </si>
  <si>
    <t>10/18(四)</t>
    <phoneticPr fontId="1" type="noConversion"/>
  </si>
  <si>
    <t>107</t>
    <phoneticPr fontId="1" type="noConversion"/>
  </si>
  <si>
    <t>11/2(四)</t>
    <phoneticPr fontId="1" type="noConversion"/>
  </si>
  <si>
    <t>107</t>
    <phoneticPr fontId="1" type="noConversion"/>
  </si>
  <si>
    <t>7</t>
    <phoneticPr fontId="1" type="noConversion"/>
  </si>
  <si>
    <t>107</t>
    <phoneticPr fontId="1" type="noConversion"/>
  </si>
  <si>
    <t>11/8(四)</t>
    <phoneticPr fontId="1" type="noConversion"/>
  </si>
  <si>
    <t>8</t>
    <phoneticPr fontId="1" type="noConversion"/>
  </si>
  <si>
    <t>107</t>
    <phoneticPr fontId="1" type="noConversion"/>
  </si>
  <si>
    <t>11/9(四)</t>
  </si>
  <si>
    <t>107</t>
    <phoneticPr fontId="1" type="noConversion"/>
  </si>
  <si>
    <t>107</t>
    <phoneticPr fontId="1" type="noConversion"/>
  </si>
  <si>
    <t>11/29(四)</t>
    <phoneticPr fontId="1" type="noConversion"/>
  </si>
  <si>
    <t>7-1</t>
    <phoneticPr fontId="1" type="noConversion"/>
  </si>
  <si>
    <t>7-2</t>
    <phoneticPr fontId="1" type="noConversion"/>
  </si>
  <si>
    <t>9-1</t>
    <phoneticPr fontId="1" type="noConversion"/>
  </si>
  <si>
    <t>9-2</t>
    <phoneticPr fontId="1" type="noConversion"/>
  </si>
  <si>
    <t>9-3</t>
    <phoneticPr fontId="1" type="noConversion"/>
  </si>
  <si>
    <t>9-4</t>
    <phoneticPr fontId="1" type="noConversion"/>
  </si>
  <si>
    <t>11/29(四)</t>
  </si>
  <si>
    <t>分配</t>
    <phoneticPr fontId="1" type="noConversion"/>
  </si>
  <si>
    <t>108</t>
    <phoneticPr fontId="1" type="noConversion"/>
  </si>
  <si>
    <t>台新金</t>
    <phoneticPr fontId="1" type="noConversion"/>
  </si>
  <si>
    <t>2019</t>
    <phoneticPr fontId="1" type="noConversion"/>
  </si>
  <si>
    <t>b</t>
    <phoneticPr fontId="1" type="noConversion"/>
  </si>
  <si>
    <t>2019/5/2(四)</t>
    <phoneticPr fontId="1" type="noConversion"/>
  </si>
  <si>
    <t>買賣價</t>
    <phoneticPr fontId="1" type="noConversion"/>
  </si>
  <si>
    <t>張數</t>
    <phoneticPr fontId="1" type="noConversion"/>
  </si>
  <si>
    <t>金額</t>
    <phoneticPr fontId="1" type="noConversion"/>
  </si>
  <si>
    <t>h</t>
    <phoneticPr fontId="1" type="noConversion"/>
  </si>
  <si>
    <t>補充保費</t>
    <phoneticPr fontId="1" type="noConversion"/>
  </si>
  <si>
    <t>實累計</t>
    <phoneticPr fontId="1" type="noConversion"/>
  </si>
  <si>
    <t>餘張數</t>
    <phoneticPr fontId="1" type="noConversion"/>
  </si>
  <si>
    <t>元/股</t>
    <phoneticPr fontId="1" type="noConversion"/>
  </si>
  <si>
    <t>m</t>
    <phoneticPr fontId="1" type="noConversion"/>
  </si>
  <si>
    <t>日均價</t>
    <phoneticPr fontId="1" type="noConversion"/>
  </si>
  <si>
    <t>n</t>
    <phoneticPr fontId="1" type="noConversion"/>
  </si>
  <si>
    <t>o</t>
    <phoneticPr fontId="1" type="noConversion"/>
  </si>
  <si>
    <t>配股票</t>
    <phoneticPr fontId="1" type="noConversion"/>
  </si>
  <si>
    <t>a</t>
    <phoneticPr fontId="1" type="noConversion"/>
  </si>
  <si>
    <t>日期</t>
    <phoneticPr fontId="1" type="noConversion"/>
  </si>
  <si>
    <t>c</t>
    <phoneticPr fontId="1" type="noConversion"/>
  </si>
  <si>
    <t>手續費</t>
    <phoneticPr fontId="1" type="noConversion"/>
  </si>
  <si>
    <t>g</t>
    <phoneticPr fontId="1" type="noConversion"/>
  </si>
  <si>
    <t>累計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</si>
  <si>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</si>
  <si>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</si>
  <si>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</si>
  <si>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日均價</t>
    <phoneticPr fontId="1" type="noConversion"/>
  </si>
  <si>
    <t>2019</t>
    <phoneticPr fontId="1" type="noConversion"/>
  </si>
  <si>
    <t>5/3(五)</t>
    <phoneticPr fontId="1" type="noConversion"/>
  </si>
  <si>
    <t>分配</t>
    <phoneticPr fontId="1" type="noConversion"/>
  </si>
  <si>
    <t>賣</t>
    <phoneticPr fontId="1" type="noConversion"/>
  </si>
  <si>
    <t>9-4</t>
  </si>
  <si>
    <t>108</t>
    <phoneticPr fontId="1" type="noConversion"/>
  </si>
  <si>
    <t>5/13(一)</t>
  </si>
  <si>
    <t>5/13(一)</t>
    <phoneticPr fontId="1" type="noConversion"/>
  </si>
  <si>
    <t>108</t>
    <phoneticPr fontId="1" type="noConversion"/>
  </si>
  <si>
    <t>108</t>
    <phoneticPr fontId="1" type="noConversion"/>
  </si>
  <si>
    <t>108</t>
    <phoneticPr fontId="1" type="noConversion"/>
  </si>
  <si>
    <t>21.95→20.3</t>
    <phoneticPr fontId="1" type="noConversion"/>
  </si>
  <si>
    <t>2887台新金</t>
    <phoneticPr fontId="1" type="noConversion"/>
  </si>
  <si>
    <t>2019</t>
    <phoneticPr fontId="1" type="noConversion"/>
  </si>
  <si>
    <t>9/9(一)</t>
    <phoneticPr fontId="1" type="noConversion"/>
  </si>
  <si>
    <t>除8/12</t>
    <phoneticPr fontId="1" type="noConversion"/>
  </si>
  <si>
    <t>14.3→13.5</t>
    <phoneticPr fontId="1" type="noConversion"/>
  </si>
  <si>
    <t>9/19(四)</t>
    <phoneticPr fontId="1" type="noConversion"/>
  </si>
  <si>
    <t>除8/14(三)</t>
    <phoneticPr fontId="1" type="noConversion"/>
  </si>
  <si>
    <t>分配</t>
    <phoneticPr fontId="1" type="noConversion"/>
  </si>
  <si>
    <t>除7/18(四)</t>
    <phoneticPr fontId="1" type="noConversion"/>
  </si>
  <si>
    <t>8/14(三)</t>
    <phoneticPr fontId="1" type="noConversion"/>
  </si>
  <si>
    <t>13.4→12.45</t>
    <phoneticPr fontId="1" type="noConversion"/>
  </si>
  <si>
    <t>10-1</t>
    <phoneticPr fontId="1" type="noConversion"/>
  </si>
  <si>
    <t>10-2</t>
    <phoneticPr fontId="1" type="noConversion"/>
  </si>
  <si>
    <t>10-3</t>
    <phoneticPr fontId="1" type="noConversion"/>
  </si>
  <si>
    <t>1-3</t>
    <phoneticPr fontId="1" type="noConversion"/>
  </si>
  <si>
    <t>1-4</t>
    <phoneticPr fontId="1" type="noConversion"/>
  </si>
  <si>
    <t>2-1</t>
    <phoneticPr fontId="1" type="noConversion"/>
  </si>
  <si>
    <t>2-2</t>
    <phoneticPr fontId="1" type="noConversion"/>
  </si>
  <si>
    <t>11/26(二)</t>
  </si>
  <si>
    <t>11/26(二)</t>
    <phoneticPr fontId="1" type="noConversion"/>
  </si>
  <si>
    <t>1-1</t>
    <phoneticPr fontId="1" type="noConversion"/>
  </si>
  <si>
    <t>1-2</t>
  </si>
  <si>
    <t>1-3</t>
  </si>
  <si>
    <t>1-4</t>
  </si>
  <si>
    <t>1-5</t>
  </si>
  <si>
    <t>2019</t>
  </si>
  <si>
    <t>元大高股息</t>
    <phoneticPr fontId="1" type="noConversion"/>
  </si>
  <si>
    <t>2-1</t>
    <phoneticPr fontId="1" type="noConversion"/>
  </si>
  <si>
    <t>2-2</t>
    <phoneticPr fontId="1" type="noConversion"/>
  </si>
  <si>
    <t>11/29(五)</t>
    <phoneticPr fontId="1" type="noConversion"/>
  </si>
  <si>
    <t>11/29(五)</t>
    <phoneticPr fontId="1" type="noConversion"/>
  </si>
  <si>
    <t>109</t>
    <phoneticPr fontId="1" type="noConversion"/>
  </si>
  <si>
    <t>鳳凰</t>
    <phoneticPr fontId="1" type="noConversion"/>
  </si>
  <si>
    <t>9933中鼎</t>
    <phoneticPr fontId="1" type="noConversion"/>
  </si>
  <si>
    <t>109</t>
  </si>
  <si>
    <t>2</t>
    <phoneticPr fontId="1" type="noConversion"/>
  </si>
  <si>
    <t>109</t>
    <phoneticPr fontId="1" type="noConversion"/>
  </si>
  <si>
    <t>4</t>
    <phoneticPr fontId="1" type="noConversion"/>
  </si>
  <si>
    <t>109</t>
    <phoneticPr fontId="1" type="noConversion"/>
  </si>
  <si>
    <t>3</t>
    <phoneticPr fontId="1" type="noConversion"/>
  </si>
  <si>
    <t>109</t>
    <phoneticPr fontId="1" type="noConversion"/>
  </si>
  <si>
    <t>5-1</t>
    <phoneticPr fontId="1" type="noConversion"/>
  </si>
  <si>
    <t>5-2</t>
    <phoneticPr fontId="1" type="noConversion"/>
  </si>
  <si>
    <t>109</t>
    <phoneticPr fontId="1" type="noConversion"/>
  </si>
  <si>
    <t>109</t>
    <phoneticPr fontId="1" type="noConversion"/>
  </si>
  <si>
    <t>5-3</t>
  </si>
  <si>
    <t>5-5</t>
  </si>
  <si>
    <t>5-6</t>
  </si>
  <si>
    <t>5-7</t>
  </si>
  <si>
    <t>5-8</t>
  </si>
  <si>
    <t>5-9</t>
  </si>
  <si>
    <t>5-10</t>
  </si>
  <si>
    <t>11.15-10.4</t>
    <phoneticPr fontId="1" type="noConversion"/>
  </si>
  <si>
    <t>2020</t>
    <phoneticPr fontId="1" type="noConversion"/>
  </si>
  <si>
    <t>13.85→13</t>
    <phoneticPr fontId="1" type="noConversion"/>
  </si>
  <si>
    <t>38.4→36.4</t>
    <phoneticPr fontId="1" type="noConversion"/>
  </si>
  <si>
    <t>23.3→22.05</t>
    <phoneticPr fontId="1" type="noConversion"/>
  </si>
  <si>
    <t>除權息/分配</t>
    <phoneticPr fontId="1" type="noConversion"/>
  </si>
  <si>
    <t>7/30除,8/28配</t>
    <phoneticPr fontId="1" type="noConversion"/>
  </si>
  <si>
    <t>8/11除,9/9配</t>
    <phoneticPr fontId="1" type="noConversion"/>
  </si>
  <si>
    <t>7/24除,8/21配</t>
    <phoneticPr fontId="1" type="noConversion"/>
  </si>
  <si>
    <t>除權息/分配</t>
    <phoneticPr fontId="1" type="noConversion"/>
  </si>
  <si>
    <t>分配</t>
    <phoneticPr fontId="1" type="noConversion"/>
  </si>
  <si>
    <t>110</t>
    <phoneticPr fontId="1" type="noConversion"/>
  </si>
  <si>
    <t>111</t>
    <phoneticPr fontId="1" type="noConversion"/>
  </si>
  <si>
    <t>69.0→61.8</t>
    <phoneticPr fontId="1" type="noConversion"/>
  </si>
  <si>
    <t>賣1-1</t>
    <phoneticPr fontId="1" type="noConversion"/>
  </si>
  <si>
    <t>112</t>
    <phoneticPr fontId="1" type="noConversion"/>
  </si>
  <si>
    <t>5/25(四)</t>
    <phoneticPr fontId="1" type="noConversion"/>
  </si>
  <si>
    <t>賣1-2</t>
  </si>
  <si>
    <t>賣2</t>
    <phoneticPr fontId="1" type="noConversion"/>
  </si>
  <si>
    <t>06/05(一)</t>
    <phoneticPr fontId="1" type="noConversion"/>
  </si>
  <si>
    <t>賣3-1</t>
    <phoneticPr fontId="1" type="noConversion"/>
  </si>
  <si>
    <t>06/06(二)</t>
    <phoneticPr fontId="1" type="noConversion"/>
  </si>
  <si>
    <t>賣3-2</t>
  </si>
  <si>
    <t>賣4-1</t>
    <phoneticPr fontId="1" type="noConversion"/>
  </si>
  <si>
    <t>06/15(四)</t>
    <phoneticPr fontId="1" type="noConversion"/>
  </si>
  <si>
    <t>賣4-2</t>
    <phoneticPr fontId="1" type="noConversion"/>
  </si>
  <si>
    <t>賣5-1</t>
    <phoneticPr fontId="1" type="noConversion"/>
  </si>
  <si>
    <t>06/19(一)</t>
    <phoneticPr fontId="1" type="noConversion"/>
  </si>
  <si>
    <t>賣5-2</t>
  </si>
  <si>
    <t>賣6-1</t>
    <phoneticPr fontId="1" type="noConversion"/>
  </si>
  <si>
    <t>賣6-2</t>
  </si>
  <si>
    <t>06/20(二)</t>
    <phoneticPr fontId="1" type="noConversion"/>
  </si>
  <si>
    <t>賣7-1</t>
    <phoneticPr fontId="1" type="noConversion"/>
  </si>
  <si>
    <t>112</t>
    <phoneticPr fontId="1" type="noConversion"/>
  </si>
  <si>
    <t>06/26(一)</t>
    <phoneticPr fontId="1" type="noConversion"/>
  </si>
  <si>
    <t>賣7-2</t>
  </si>
  <si>
    <t>賣7-3</t>
  </si>
  <si>
    <t>賣7-4</t>
  </si>
  <si>
    <t>賣8-1</t>
    <phoneticPr fontId="1" type="noConversion"/>
  </si>
  <si>
    <t>賣8-2</t>
  </si>
  <si>
    <t>06/27(二)</t>
    <phoneticPr fontId="1" type="noConversion"/>
  </si>
  <si>
    <t>分配</t>
    <phoneticPr fontId="1" type="noConversion"/>
  </si>
  <si>
    <t>09/17(五)</t>
    <phoneticPr fontId="1" type="noConversion"/>
  </si>
  <si>
    <t>07/29(五)</t>
    <phoneticPr fontId="1" type="noConversion"/>
  </si>
  <si>
    <t>37.85→35.85</t>
    <phoneticPr fontId="1" type="noConversion"/>
  </si>
  <si>
    <t>44.9→42.6</t>
    <phoneticPr fontId="1" type="noConversion"/>
  </si>
  <si>
    <t>112</t>
    <phoneticPr fontId="1" type="noConversion"/>
  </si>
  <si>
    <t>賣</t>
    <phoneticPr fontId="1" type="noConversion"/>
  </si>
  <si>
    <t>2020</t>
    <phoneticPr fontId="1" type="noConversion"/>
  </si>
  <si>
    <t>分配</t>
  </si>
  <si>
    <t>分配</t>
    <phoneticPr fontId="1" type="noConversion"/>
  </si>
  <si>
    <t>2021</t>
    <phoneticPr fontId="1" type="noConversion"/>
  </si>
  <si>
    <t>3-1</t>
    <phoneticPr fontId="1" type="noConversion"/>
  </si>
  <si>
    <t>110</t>
    <phoneticPr fontId="1" type="noConversion"/>
  </si>
  <si>
    <t>12/9(四)</t>
    <phoneticPr fontId="1" type="noConversion"/>
  </si>
  <si>
    <t>3-2</t>
    <phoneticPr fontId="1" type="noConversion"/>
  </si>
  <si>
    <t>4</t>
    <phoneticPr fontId="1" type="noConversion"/>
  </si>
  <si>
    <t>5-1</t>
    <phoneticPr fontId="1" type="noConversion"/>
  </si>
  <si>
    <t>5-2</t>
    <phoneticPr fontId="1" type="noConversion"/>
  </si>
  <si>
    <t>6</t>
    <phoneticPr fontId="1" type="noConversion"/>
  </si>
  <si>
    <t>7-1</t>
    <phoneticPr fontId="1" type="noConversion"/>
  </si>
  <si>
    <t>7-2</t>
    <phoneticPr fontId="1" type="noConversion"/>
  </si>
  <si>
    <t>111</t>
  </si>
  <si>
    <t>111</t>
    <phoneticPr fontId="1" type="noConversion"/>
  </si>
  <si>
    <t>12/13(一)</t>
    <phoneticPr fontId="1" type="noConversion"/>
  </si>
  <si>
    <t>12/14(二)</t>
    <phoneticPr fontId="1" type="noConversion"/>
  </si>
  <si>
    <t>12/16(四)</t>
    <phoneticPr fontId="1" type="noConversion"/>
  </si>
  <si>
    <t>12/20(一)</t>
    <phoneticPr fontId="1" type="noConversion"/>
  </si>
  <si>
    <t>17.35→15.95</t>
    <phoneticPr fontId="1" type="noConversion"/>
  </si>
  <si>
    <t>8-1</t>
    <phoneticPr fontId="1" type="noConversion"/>
  </si>
  <si>
    <t>8-2</t>
    <phoneticPr fontId="1" type="noConversion"/>
  </si>
  <si>
    <t>8-3</t>
    <phoneticPr fontId="1" type="noConversion"/>
  </si>
  <si>
    <t>8-4</t>
    <phoneticPr fontId="1" type="noConversion"/>
  </si>
  <si>
    <t>112</t>
  </si>
  <si>
    <t>112</t>
    <phoneticPr fontId="1" type="noConversion"/>
  </si>
  <si>
    <t>3/10(五)</t>
    <phoneticPr fontId="1" type="noConversion"/>
  </si>
  <si>
    <t>7/26→8/25</t>
    <phoneticPr fontId="1" type="noConversion"/>
  </si>
  <si>
    <t>19.3→18.05</t>
    <phoneticPr fontId="1" type="noConversion"/>
  </si>
  <si>
    <t>7/6→7/26</t>
    <phoneticPr fontId="1" type="noConversion"/>
  </si>
  <si>
    <t>07/29(五)</t>
  </si>
  <si>
    <t>44.9→42.6</t>
  </si>
  <si>
    <t>42.05→40.15</t>
    <phoneticPr fontId="1" type="noConversion"/>
  </si>
  <si>
    <t>5410國眾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</si>
  <si>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</si>
  <si>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</si>
  <si>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</si>
  <si>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</si>
  <si>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</si>
  <si>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</si>
  <si>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</si>
  <si>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</si>
  <si>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</si>
  <si>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8-1</t>
    <phoneticPr fontId="1" type="noConversion"/>
  </si>
  <si>
    <t>2021</t>
    <phoneticPr fontId="1" type="noConversion"/>
  </si>
  <si>
    <t>2022</t>
  </si>
  <si>
    <t>2022</t>
    <phoneticPr fontId="1" type="noConversion"/>
  </si>
  <si>
    <t>8-2</t>
    <phoneticPr fontId="1" type="noConversion"/>
  </si>
  <si>
    <t>8-3</t>
    <phoneticPr fontId="1" type="noConversion"/>
  </si>
  <si>
    <t>9-1</t>
    <phoneticPr fontId="1" type="noConversion"/>
  </si>
  <si>
    <t>9-2</t>
    <phoneticPr fontId="1" type="noConversion"/>
  </si>
  <si>
    <t>9-3</t>
    <phoneticPr fontId="1" type="noConversion"/>
  </si>
  <si>
    <t>10-1</t>
    <phoneticPr fontId="1" type="noConversion"/>
  </si>
  <si>
    <t>10-2</t>
    <phoneticPr fontId="1" type="noConversion"/>
  </si>
  <si>
    <t>10-3</t>
    <phoneticPr fontId="1" type="noConversion"/>
  </si>
  <si>
    <t>11</t>
    <phoneticPr fontId="1" type="noConversion"/>
  </si>
  <si>
    <t>分配</t>
    <phoneticPr fontId="1" type="noConversion"/>
  </si>
  <si>
    <t>8/19(四)</t>
    <phoneticPr fontId="1" type="noConversion"/>
  </si>
  <si>
    <t>8/20(五)</t>
    <phoneticPr fontId="1" type="noConversion"/>
  </si>
  <si>
    <t>賣1</t>
    <phoneticPr fontId="1" type="noConversion"/>
  </si>
  <si>
    <t>賣2-1</t>
    <phoneticPr fontId="1" type="noConversion"/>
  </si>
  <si>
    <t>賣2-2</t>
    <phoneticPr fontId="1" type="noConversion"/>
  </si>
  <si>
    <t>2022</t>
    <phoneticPr fontId="1" type="noConversion"/>
  </si>
  <si>
    <t>2023</t>
    <phoneticPr fontId="1" type="noConversion"/>
  </si>
  <si>
    <t>11/11(五)</t>
    <phoneticPr fontId="1" type="noConversion"/>
  </si>
  <si>
    <t>11/17(四)</t>
    <phoneticPr fontId="1" type="noConversion"/>
  </si>
  <si>
    <t>7/18→8/15</t>
    <phoneticPr fontId="1" type="noConversion"/>
  </si>
  <si>
    <t>34.7→32.2</t>
    <phoneticPr fontId="1" type="noConversion"/>
  </si>
  <si>
    <t>分配</t>
    <phoneticPr fontId="1" type="noConversion"/>
  </si>
  <si>
    <t>110</t>
    <phoneticPr fontId="1" type="noConversion"/>
  </si>
  <si>
    <t>111</t>
    <phoneticPr fontId="1" type="noConversion"/>
  </si>
  <si>
    <t>112</t>
    <phoneticPr fontId="1" type="noConversion"/>
  </si>
  <si>
    <t>7/30(五)</t>
    <phoneticPr fontId="1" type="noConversion"/>
  </si>
  <si>
    <t>5/13(五)</t>
    <phoneticPr fontId="1" type="noConversion"/>
  </si>
  <si>
    <t>33.75→31.25</t>
    <phoneticPr fontId="1" type="noConversion"/>
  </si>
  <si>
    <t>4/20→5/19</t>
    <phoneticPr fontId="1" type="noConversion"/>
  </si>
  <si>
    <t>11</t>
    <phoneticPr fontId="1" type="noConversion"/>
  </si>
  <si>
    <t>12-1</t>
    <phoneticPr fontId="1" type="noConversion"/>
  </si>
  <si>
    <t>12-2</t>
    <phoneticPr fontId="1" type="noConversion"/>
  </si>
  <si>
    <t>13</t>
    <phoneticPr fontId="1" type="noConversion"/>
  </si>
  <si>
    <t>4/20(四)</t>
    <phoneticPr fontId="1" type="noConversion"/>
  </si>
  <si>
    <t>4/21(五)</t>
    <phoneticPr fontId="1" type="noConversion"/>
  </si>
  <si>
    <t>9/11(一)</t>
    <phoneticPr fontId="1" type="noConversion"/>
  </si>
  <si>
    <t>00893國泰智能車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</si>
  <si>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</si>
  <si>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</si>
  <si>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</si>
  <si>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</si>
  <si>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</si>
  <si>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10/23→12/1</t>
    <phoneticPr fontId="1" type="noConversion"/>
  </si>
  <si>
    <t>7/18→8/11</t>
    <phoneticPr fontId="1" type="noConversion"/>
  </si>
  <si>
    <t>10/19→</t>
    <phoneticPr fontId="1" type="noConversion"/>
  </si>
  <si>
    <t>00916國泰全球品牌50</t>
    <phoneticPr fontId="1" type="noConversion"/>
  </si>
  <si>
    <t>2-4</t>
    <phoneticPr fontId="1" type="noConversion"/>
  </si>
  <si>
    <t>2-5</t>
    <phoneticPr fontId="1" type="noConversion"/>
  </si>
  <si>
    <t>111</t>
    <phoneticPr fontId="1" type="noConversion"/>
  </si>
  <si>
    <t>11/3(四)</t>
    <phoneticPr fontId="1" type="noConversion"/>
  </si>
  <si>
    <t>11/4(五)</t>
    <phoneticPr fontId="1" type="noConversion"/>
  </si>
  <si>
    <t>6/16→7/14</t>
    <phoneticPr fontId="1" type="noConversion"/>
  </si>
  <si>
    <t>分配(季)</t>
    <phoneticPr fontId="1" type="noConversion"/>
  </si>
  <si>
    <t>18.18(日股價)</t>
    <phoneticPr fontId="1" type="noConversion"/>
  </si>
  <si>
    <t>2884玉山金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</si>
  <si>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</si>
  <si>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</si>
  <si>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</si>
  <si>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5-1</t>
    <phoneticPr fontId="1" type="noConversion"/>
  </si>
  <si>
    <t>5-2</t>
    <phoneticPr fontId="1" type="noConversion"/>
  </si>
  <si>
    <t>認購</t>
    <phoneticPr fontId="1" type="noConversion"/>
  </si>
  <si>
    <t>112</t>
    <phoneticPr fontId="1" type="noConversion"/>
  </si>
  <si>
    <t>3/9(四)</t>
    <phoneticPr fontId="1" type="noConversion"/>
  </si>
  <si>
    <t>3/10(五)</t>
    <phoneticPr fontId="1" type="noConversion"/>
  </si>
  <si>
    <t>3/13(一)</t>
    <phoneticPr fontId="1" type="noConversion"/>
  </si>
  <si>
    <t>3/14(二)</t>
    <phoneticPr fontId="1" type="noConversion"/>
  </si>
  <si>
    <t>3/15(三)</t>
    <phoneticPr fontId="1" type="noConversion"/>
  </si>
  <si>
    <t>4/20→5/3</t>
    <phoneticPr fontId="1" type="noConversion"/>
  </si>
  <si>
    <t>8</t>
    <phoneticPr fontId="1" type="noConversion"/>
  </si>
  <si>
    <t>5/24(三)</t>
    <phoneticPr fontId="1" type="noConversion"/>
  </si>
  <si>
    <t>5/24(四)</t>
    <phoneticPr fontId="1" type="noConversion"/>
  </si>
  <si>
    <t>7/27→8/30</t>
    <phoneticPr fontId="1" type="noConversion"/>
  </si>
  <si>
    <t>26.95→25.8</t>
    <phoneticPr fontId="1" type="noConversion"/>
  </si>
  <si>
    <t>5864致和證</t>
    <phoneticPr fontId="1" type="noConversion"/>
  </si>
  <si>
    <t>1-4</t>
    <phoneticPr fontId="1" type="noConversion"/>
  </si>
  <si>
    <t>7/13(四)</t>
    <phoneticPr fontId="1" type="noConversion"/>
  </si>
  <si>
    <t>7/22(三)</t>
    <phoneticPr fontId="1" type="noConversion"/>
  </si>
  <si>
    <t>賣</t>
    <phoneticPr fontId="1" type="noConversion"/>
  </si>
  <si>
    <t>109</t>
    <phoneticPr fontId="1" type="noConversion"/>
  </si>
  <si>
    <t>12.5→11.95</t>
    <phoneticPr fontId="1" type="noConversion"/>
  </si>
  <si>
    <t>13.9→13.45</t>
    <phoneticPr fontId="1" type="noConversion"/>
  </si>
  <si>
    <t>8</t>
    <phoneticPr fontId="1" type="noConversion"/>
  </si>
  <si>
    <t>9</t>
  </si>
  <si>
    <t>9</t>
    <phoneticPr fontId="1" type="noConversion"/>
  </si>
  <si>
    <t>8/31→10/6</t>
    <phoneticPr fontId="1" type="noConversion"/>
  </si>
  <si>
    <t>9/26(二)</t>
    <phoneticPr fontId="1" type="noConversion"/>
  </si>
  <si>
    <t>9/28(四)</t>
  </si>
  <si>
    <t>9/28(四)</t>
    <phoneticPr fontId="1" type="noConversion"/>
  </si>
  <si>
    <t>10-1</t>
    <phoneticPr fontId="1" type="noConversion"/>
  </si>
  <si>
    <t>10-2</t>
    <phoneticPr fontId="1" type="noConversion"/>
  </si>
  <si>
    <t>10/3(二)</t>
    <phoneticPr fontId="1" type="noConversion"/>
  </si>
  <si>
    <t>10/4(三)</t>
    <phoneticPr fontId="1" type="noConversion"/>
  </si>
  <si>
    <t>12</t>
    <phoneticPr fontId="1" type="noConversion"/>
  </si>
  <si>
    <t>10/5(四)</t>
    <phoneticPr fontId="1" type="noConversion"/>
  </si>
  <si>
    <t>估除權息後自計成本總表</t>
    <phoneticPr fontId="1" type="noConversion"/>
  </si>
  <si>
    <t>A</t>
    <phoneticPr fontId="1" type="noConversion"/>
  </si>
  <si>
    <t>B</t>
    <phoneticPr fontId="1" type="noConversion"/>
  </si>
  <si>
    <t>C=A*B</t>
    <phoneticPr fontId="1" type="noConversion"/>
  </si>
  <si>
    <t>D</t>
    <phoneticPr fontId="1" type="noConversion"/>
  </si>
  <si>
    <t>E=A*D</t>
    <phoneticPr fontId="1" type="noConversion"/>
  </si>
  <si>
    <t>股數</t>
    <phoneticPr fontId="1" type="noConversion"/>
  </si>
  <si>
    <t>成本/股</t>
    <phoneticPr fontId="1" type="noConversion"/>
  </si>
  <si>
    <t>收盤價</t>
    <phoneticPr fontId="1" type="noConversion"/>
  </si>
  <si>
    <t>損益</t>
    <phoneticPr fontId="1" type="noConversion"/>
  </si>
  <si>
    <t>代號</t>
    <phoneticPr fontId="1" type="noConversion"/>
  </si>
  <si>
    <t>名稱</t>
    <phoneticPr fontId="1" type="noConversion"/>
  </si>
  <si>
    <t>配息</t>
    <phoneticPr fontId="1" type="noConversion"/>
  </si>
  <si>
    <t>配股</t>
    <phoneticPr fontId="1" type="noConversion"/>
  </si>
  <si>
    <t>未實現</t>
    <phoneticPr fontId="1" type="noConversion"/>
  </si>
  <si>
    <t>已+未實現</t>
    <phoneticPr fontId="1" type="noConversion"/>
  </si>
  <si>
    <t>0056</t>
    <phoneticPr fontId="1" type="noConversion"/>
  </si>
  <si>
    <t>元大高股息</t>
    <phoneticPr fontId="1" type="noConversion"/>
  </si>
  <si>
    <t>00893</t>
    <phoneticPr fontId="1" type="noConversion"/>
  </si>
  <si>
    <t>國泰智能車</t>
    <phoneticPr fontId="1" type="noConversion"/>
  </si>
  <si>
    <t>00916</t>
    <phoneticPr fontId="1" type="noConversion"/>
  </si>
  <si>
    <t>國泰全球品牌50</t>
  </si>
  <si>
    <t>達欣工</t>
    <phoneticPr fontId="1" type="noConversion"/>
  </si>
  <si>
    <t>台企銀</t>
    <phoneticPr fontId="1" type="noConversion"/>
  </si>
  <si>
    <t>玉山金</t>
    <phoneticPr fontId="1" type="noConversion"/>
  </si>
  <si>
    <t>台新金</t>
    <phoneticPr fontId="1" type="noConversion"/>
  </si>
  <si>
    <t>國眾</t>
    <phoneticPr fontId="1" type="noConversion"/>
  </si>
  <si>
    <t>致和證</t>
    <phoneticPr fontId="1" type="noConversion"/>
  </si>
  <si>
    <t>製表人：</t>
    <phoneticPr fontId="1" type="noConversion"/>
  </si>
  <si>
    <t>賣2</t>
  </si>
  <si>
    <t>賣3</t>
  </si>
  <si>
    <t>賣4</t>
  </si>
  <si>
    <t>賣5</t>
  </si>
  <si>
    <t>賣1/6</t>
    <phoneticPr fontId="1" type="noConversion"/>
  </si>
  <si>
    <t>賣2/7</t>
    <phoneticPr fontId="1" type="noConversion"/>
  </si>
  <si>
    <t>賣3/8</t>
    <phoneticPr fontId="1" type="noConversion"/>
  </si>
  <si>
    <t>賣1/9</t>
    <phoneticPr fontId="1" type="noConversion"/>
  </si>
  <si>
    <t>賣2/10</t>
    <phoneticPr fontId="1" type="noConversion"/>
  </si>
  <si>
    <t>賣1/11</t>
    <phoneticPr fontId="1" type="noConversion"/>
  </si>
  <si>
    <t>11/6(一)</t>
    <phoneticPr fontId="1" type="noConversion"/>
  </si>
  <si>
    <t>11/3(五)</t>
    <phoneticPr fontId="1" type="noConversion"/>
  </si>
  <si>
    <t>11/1(三)</t>
    <phoneticPr fontId="1" type="noConversion"/>
  </si>
  <si>
    <t>11/7(二)</t>
  </si>
  <si>
    <t>11/7(二)</t>
    <phoneticPr fontId="1" type="noConversion"/>
  </si>
  <si>
    <t>賣1/12</t>
  </si>
  <si>
    <t>賣2/13</t>
    <phoneticPr fontId="1" type="noConversion"/>
  </si>
  <si>
    <t>賣3/14</t>
    <phoneticPr fontId="1" type="noConversion"/>
  </si>
  <si>
    <t>賣4/15</t>
    <phoneticPr fontId="1" type="noConversion"/>
  </si>
  <si>
    <t>賣5/16</t>
    <phoneticPr fontId="1" type="noConversion"/>
  </si>
  <si>
    <t>減資</t>
    <phoneticPr fontId="1" type="noConversion"/>
  </si>
  <si>
    <t>10/30(一)</t>
    <phoneticPr fontId="1" type="noConversion"/>
  </si>
  <si>
    <t>34.6→40.75</t>
    <phoneticPr fontId="1" type="noConversion"/>
  </si>
  <si>
    <t>00679B元大美債</t>
    <phoneticPr fontId="1" type="noConversion"/>
  </si>
  <si>
    <t>11/20(一)</t>
    <phoneticPr fontId="1" type="noConversion"/>
  </si>
  <si>
    <t>1-6</t>
  </si>
  <si>
    <t>11/29(三)</t>
    <phoneticPr fontId="1" type="noConversion"/>
  </si>
  <si>
    <t>12/04(一)</t>
    <phoneticPr fontId="1" type="noConversion"/>
  </si>
  <si>
    <t>12/05(二)</t>
    <phoneticPr fontId="1" type="noConversion"/>
  </si>
  <si>
    <t>4-1</t>
    <phoneticPr fontId="1" type="noConversion"/>
  </si>
  <si>
    <t>4-2</t>
    <phoneticPr fontId="1" type="noConversion"/>
  </si>
  <si>
    <t>12/06(三)</t>
    <phoneticPr fontId="1" type="noConversion"/>
  </si>
  <si>
    <t>12/13(三)</t>
    <phoneticPr fontId="1" type="noConversion"/>
  </si>
  <si>
    <t>賣1-1</t>
    <phoneticPr fontId="1" type="noConversion"/>
  </si>
  <si>
    <t>112</t>
    <phoneticPr fontId="1" type="noConversion"/>
  </si>
  <si>
    <t>12/26(二)</t>
    <phoneticPr fontId="1" type="noConversion"/>
  </si>
  <si>
    <t>賣1-2</t>
    <phoneticPr fontId="1" type="noConversion"/>
  </si>
  <si>
    <t>中鼎</t>
  </si>
  <si>
    <t>00679B元大美債</t>
    <phoneticPr fontId="1" type="noConversion"/>
  </si>
  <si>
    <t>賣2-1</t>
    <phoneticPr fontId="1" type="noConversion"/>
  </si>
  <si>
    <t>12/27(三)</t>
    <phoneticPr fontId="1" type="noConversion"/>
  </si>
  <si>
    <t>申購</t>
    <phoneticPr fontId="1" type="noConversion"/>
  </si>
  <si>
    <t>112</t>
    <phoneticPr fontId="1" type="noConversion"/>
  </si>
  <si>
    <t>統一</t>
    <phoneticPr fontId="1" type="noConversion"/>
  </si>
  <si>
    <t>1216統一</t>
    <phoneticPr fontId="1" type="noConversion"/>
  </si>
  <si>
    <t>10/31(二)</t>
    <phoneticPr fontId="1" type="noConversion"/>
  </si>
  <si>
    <t>00679B</t>
  </si>
  <si>
    <t>元大美債20年</t>
    <phoneticPr fontId="1" type="noConversion"/>
  </si>
  <si>
    <t>13-1</t>
    <phoneticPr fontId="1" type="noConversion"/>
  </si>
  <si>
    <t>113</t>
    <phoneticPr fontId="1" type="noConversion"/>
  </si>
  <si>
    <t>1/17(三)</t>
    <phoneticPr fontId="1" type="noConversion"/>
  </si>
  <si>
    <t>13-2</t>
    <phoneticPr fontId="1" type="noConversion"/>
  </si>
  <si>
    <t>113</t>
    <phoneticPr fontId="1" type="noConversion"/>
  </si>
  <si>
    <t>13-3</t>
  </si>
  <si>
    <t>元大台灣50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</si>
  <si>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</si>
  <si>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</si>
  <si>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</si>
  <si>
    <t>1-7</t>
  </si>
  <si>
    <t>1-8</t>
  </si>
  <si>
    <t>1-9</t>
  </si>
  <si>
    <t>1-10</t>
  </si>
  <si>
    <t>3/4(一)</t>
    <phoneticPr fontId="1" type="noConversion"/>
  </si>
  <si>
    <t>2-1</t>
    <phoneticPr fontId="1" type="noConversion"/>
  </si>
  <si>
    <t>2-2</t>
    <phoneticPr fontId="1" type="noConversion"/>
  </si>
  <si>
    <t>賣</t>
    <phoneticPr fontId="1" type="noConversion"/>
  </si>
  <si>
    <t>3/5(二)</t>
    <phoneticPr fontId="1" type="noConversion"/>
  </si>
  <si>
    <t>除7/19(五)</t>
    <phoneticPr fontId="1" type="noConversion"/>
  </si>
  <si>
    <t>8/22(四)</t>
    <phoneticPr fontId="1" type="noConversion"/>
  </si>
  <si>
    <t>分配</t>
    <phoneticPr fontId="1" type="noConversion"/>
  </si>
  <si>
    <t>82.7→82.0</t>
    <phoneticPr fontId="1" type="noConversion"/>
  </si>
  <si>
    <t>賣</t>
    <phoneticPr fontId="1" type="noConversion"/>
  </si>
  <si>
    <t>10/18(五)</t>
    <phoneticPr fontId="1" type="noConversion"/>
  </si>
  <si>
    <t>10/22(二)</t>
    <phoneticPr fontId="1" type="noConversion"/>
  </si>
  <si>
    <t>10/25(五)</t>
    <phoneticPr fontId="1" type="noConversion"/>
  </si>
  <si>
    <t>2/11(二)</t>
    <phoneticPr fontId="1" type="noConversion"/>
  </si>
  <si>
    <t>2/13(四)</t>
    <phoneticPr fontId="1" type="noConversion"/>
  </si>
  <si>
    <t>108年度:51+109年度:29</t>
    <phoneticPr fontId="1" type="noConversion"/>
  </si>
  <si>
    <t>0050</t>
    <phoneticPr fontId="1" type="noConversion"/>
  </si>
  <si>
    <t>小計</t>
    <phoneticPr fontId="1" type="noConversion"/>
  </si>
  <si>
    <t>佔比%</t>
    <phoneticPr fontId="1" type="noConversion"/>
  </si>
  <si>
    <t>E=現值</t>
    <phoneticPr fontId="1" type="noConversion"/>
  </si>
  <si>
    <t>C=總成本</t>
    <phoneticPr fontId="1" type="noConversion"/>
  </si>
  <si>
    <t>F=E-C</t>
    <phoneticPr fontId="1" type="noConversion"/>
  </si>
  <si>
    <t>G</t>
    <phoneticPr fontId="1" type="noConversion"/>
  </si>
  <si>
    <t>H=F-G</t>
    <phoneticPr fontId="1" type="noConversion"/>
  </si>
  <si>
    <t>H=已實現</t>
    <phoneticPr fontId="1" type="noConversion"/>
  </si>
  <si>
    <t>※E現值+H已實現為:140,279,409+20,140,333=160,419,742</t>
    <phoneticPr fontId="1" type="noConversion"/>
  </si>
  <si>
    <t>※(E現值+H已實現)/C總成本=160,419,742/97,184,380=165.067%</t>
    <phoneticPr fontId="1" type="noConversion"/>
  </si>
  <si>
    <t>X=現值E + 已實現H=</t>
    <phoneticPr fontId="1" type="noConversion"/>
  </si>
  <si>
    <t>Y=(現值E+已實現H) / 總成本C=</t>
    <phoneticPr fontId="1" type="noConversion"/>
  </si>
  <si>
    <t>M=G/F</t>
    <phoneticPr fontId="1" type="noConversion"/>
  </si>
  <si>
    <t>N=H/F</t>
    <phoneticPr fontId="1" type="noConversion"/>
  </si>
  <si>
    <t>2023-2024</t>
    <phoneticPr fontId="1" type="noConversion"/>
  </si>
  <si>
    <t>分配</t>
    <phoneticPr fontId="1" type="noConversion"/>
  </si>
  <si>
    <t>113</t>
    <phoneticPr fontId="1" type="noConversion"/>
  </si>
  <si>
    <t>2/27(二)</t>
    <phoneticPr fontId="1" type="noConversion"/>
  </si>
  <si>
    <t>(3.0)</t>
    <phoneticPr fontId="1" type="noConversion"/>
  </si>
  <si>
    <t>?</t>
    <phoneticPr fontId="1" type="noConversion"/>
  </si>
  <si>
    <t>(?)</t>
    <phoneticPr fontId="1" type="noConversion"/>
  </si>
  <si>
    <t>(0.91)</t>
    <phoneticPr fontId="1" type="noConversion"/>
  </si>
  <si>
    <t>(0.39)</t>
    <phoneticPr fontId="1" type="noConversion"/>
  </si>
  <si>
    <t>(0.51)</t>
    <phoneticPr fontId="1" type="noConversion"/>
  </si>
  <si>
    <t>(0.42)</t>
    <phoneticPr fontId="1" type="noConversion"/>
  </si>
  <si>
    <t>(1.0)</t>
    <phoneticPr fontId="1" type="noConversion"/>
  </si>
  <si>
    <t>(2.06)</t>
    <phoneticPr fontId="1" type="noConversion"/>
  </si>
  <si>
    <t>(2.1)</t>
    <phoneticPr fontId="1" type="noConversion"/>
  </si>
  <si>
    <t>x</t>
    <phoneticPr fontId="1" type="noConversion"/>
  </si>
  <si>
    <t>小計</t>
    <phoneticPr fontId="1" type="noConversion"/>
  </si>
  <si>
    <t>合計</t>
    <phoneticPr fontId="1" type="noConversion"/>
  </si>
  <si>
    <t>X=現值E + 已實現H=</t>
    <phoneticPr fontId="1" type="noConversion"/>
  </si>
  <si>
    <t>Y=(現值E+已實現H) / 總成本C=</t>
    <phoneticPr fontId="1" type="noConversion"/>
  </si>
  <si>
    <t>A已結清</t>
    <phoneticPr fontId="1" type="noConversion"/>
  </si>
  <si>
    <t>B未結清</t>
  </si>
  <si>
    <t>製表：2024/03/13(三)</t>
    <phoneticPr fontId="1" type="noConversion"/>
  </si>
  <si>
    <t>2024/3/13(三)</t>
    <phoneticPr fontId="1" type="noConversion"/>
  </si>
  <si>
    <t>※手續費已*0.45計(45折)，現值為尚未扣除手續費、健保費</t>
    <phoneticPr fontId="1" type="noConversion"/>
  </si>
  <si>
    <t>現值</t>
    <phoneticPr fontId="1" type="noConversion"/>
  </si>
  <si>
    <t>總帳面價值</t>
    <phoneticPr fontId="1" type="noConversion"/>
  </si>
  <si>
    <t>領3/25</t>
    <phoneticPr fontId="1" type="noConversion"/>
  </si>
  <si>
    <t>7</t>
    <phoneticPr fontId="1" type="noConversion"/>
  </si>
  <si>
    <t>113</t>
    <phoneticPr fontId="1" type="noConversion"/>
  </si>
  <si>
    <t>3/15(五)</t>
    <phoneticPr fontId="1" type="noConversion"/>
  </si>
  <si>
    <t>14</t>
    <phoneticPr fontId="1" type="noConversion"/>
  </si>
  <si>
    <t>113</t>
    <phoneticPr fontId="1" type="noConversion"/>
  </si>
  <si>
    <t>3/18(一)</t>
    <phoneticPr fontId="1" type="noConversion"/>
  </si>
  <si>
    <t>8</t>
    <phoneticPr fontId="1" type="noConversion"/>
  </si>
  <si>
    <t>113</t>
    <phoneticPr fontId="1" type="noConversion"/>
  </si>
  <si>
    <t>3/20(三)</t>
    <phoneticPr fontId="1" type="noConversion"/>
  </si>
  <si>
    <t>賣3</t>
    <phoneticPr fontId="1" type="noConversion"/>
  </si>
  <si>
    <t>113</t>
    <phoneticPr fontId="1" type="noConversion"/>
  </si>
  <si>
    <t>3/18(一)</t>
    <phoneticPr fontId="1" type="noConversion"/>
  </si>
  <si>
    <t>賣4-1</t>
    <phoneticPr fontId="1" type="noConversion"/>
  </si>
  <si>
    <t>113</t>
    <phoneticPr fontId="1" type="noConversion"/>
  </si>
  <si>
    <t>賣4-2</t>
    <phoneticPr fontId="1" type="noConversion"/>
  </si>
  <si>
    <t>3/21(四)</t>
    <phoneticPr fontId="1" type="noConversion"/>
  </si>
  <si>
    <t>賣4-3</t>
    <phoneticPr fontId="1" type="noConversion"/>
  </si>
  <si>
    <t>賣4-4</t>
  </si>
  <si>
    <t>113</t>
    <phoneticPr fontId="1" type="noConversion"/>
  </si>
  <si>
    <t>賣5-1</t>
    <phoneticPr fontId="1" type="noConversion"/>
  </si>
  <si>
    <t>113</t>
    <phoneticPr fontId="1" type="noConversion"/>
  </si>
  <si>
    <t>3/22(五)</t>
    <phoneticPr fontId="1" type="noConversion"/>
  </si>
  <si>
    <t>賣5-2</t>
    <phoneticPr fontId="1" type="noConversion"/>
  </si>
  <si>
    <t>3/26(二)</t>
    <phoneticPr fontId="1" type="noConversion"/>
  </si>
  <si>
    <t>賣6-1</t>
    <phoneticPr fontId="1" type="noConversion"/>
  </si>
  <si>
    <t>賣6-2</t>
    <phoneticPr fontId="1" type="noConversion"/>
  </si>
  <si>
    <t>賣6-3</t>
    <phoneticPr fontId="1" type="noConversion"/>
  </si>
  <si>
    <t>賣6-4</t>
    <phoneticPr fontId="1" type="noConversion"/>
  </si>
  <si>
    <t>113</t>
    <phoneticPr fontId="1" type="noConversion"/>
  </si>
  <si>
    <t>3/27(三)</t>
    <phoneticPr fontId="1" type="noConversion"/>
  </si>
  <si>
    <t>賣7-1</t>
    <phoneticPr fontId="1" type="noConversion"/>
  </si>
  <si>
    <t>賣7-2</t>
    <phoneticPr fontId="1" type="noConversion"/>
  </si>
  <si>
    <t>賣7-3</t>
    <phoneticPr fontId="1" type="noConversion"/>
  </si>
  <si>
    <t>賣8</t>
    <phoneticPr fontId="1" type="noConversion"/>
  </si>
  <si>
    <t>3/28(四)</t>
    <phoneticPr fontId="1" type="noConversion"/>
  </si>
  <si>
    <t>3/29(五)</t>
    <phoneticPr fontId="1" type="noConversion"/>
  </si>
  <si>
    <t>賣9-2</t>
    <phoneticPr fontId="1" type="noConversion"/>
  </si>
  <si>
    <t>賣9-1</t>
    <phoneticPr fontId="1" type="noConversion"/>
  </si>
  <si>
    <t>賣10-1</t>
    <phoneticPr fontId="1" type="noConversion"/>
  </si>
  <si>
    <t>4/1(一)</t>
    <phoneticPr fontId="1" type="noConversion"/>
  </si>
  <si>
    <t>賣10-2</t>
    <phoneticPr fontId="1" type="noConversion"/>
  </si>
  <si>
    <t>賣10-3</t>
    <phoneticPr fontId="1" type="noConversion"/>
  </si>
  <si>
    <t>賣10-4</t>
  </si>
  <si>
    <t>賣10-5</t>
  </si>
  <si>
    <t>賣11-1</t>
    <phoneticPr fontId="1" type="noConversion"/>
  </si>
  <si>
    <t>4/2(二)</t>
    <phoneticPr fontId="1" type="noConversion"/>
  </si>
  <si>
    <t>賣11-2</t>
  </si>
  <si>
    <t>賣11-3</t>
  </si>
  <si>
    <t>賣12</t>
    <phoneticPr fontId="1" type="noConversion"/>
  </si>
  <si>
    <t>4/8(一)</t>
    <phoneticPr fontId="1" type="noConversion"/>
  </si>
  <si>
    <t>製表：2024/04/08(一)</t>
    <phoneticPr fontId="1" type="noConversion"/>
  </si>
  <si>
    <t>2024/4/8(一)</t>
    <phoneticPr fontId="1" type="noConversion"/>
  </si>
  <si>
    <t>C黃金</t>
    <phoneticPr fontId="1" type="noConversion"/>
  </si>
  <si>
    <t>台銀</t>
    <phoneticPr fontId="1" type="noConversion"/>
  </si>
  <si>
    <t>黃金存摺</t>
    <phoneticPr fontId="1" type="noConversion"/>
  </si>
  <si>
    <t>5/2(四)</t>
    <phoneticPr fontId="1" type="noConversion"/>
  </si>
  <si>
    <t>賣2-2</t>
  </si>
  <si>
    <t>賣2-3</t>
  </si>
  <si>
    <t>賣2-4</t>
  </si>
  <si>
    <t>製表：2024/05/20(一)</t>
    <phoneticPr fontId="1" type="noConversion"/>
  </si>
  <si>
    <t>分配</t>
    <phoneticPr fontId="1" type="noConversion"/>
  </si>
  <si>
    <t>113</t>
    <phoneticPr fontId="1" type="noConversion"/>
  </si>
  <si>
    <t>4/11(四)</t>
    <phoneticPr fontId="1" type="noConversion"/>
  </si>
  <si>
    <t>2024/5/17(五)</t>
    <phoneticPr fontId="1" type="noConversion"/>
  </si>
  <si>
    <t>4/18(四)</t>
    <phoneticPr fontId="1" type="noConversion"/>
  </si>
  <si>
    <t>(3.0)</t>
    <phoneticPr fontId="1" type="noConversion"/>
  </si>
  <si>
    <t>(0.79)</t>
    <phoneticPr fontId="1" type="noConversion"/>
  </si>
  <si>
    <t>(0.335)</t>
    <phoneticPr fontId="1" type="noConversion"/>
  </si>
  <si>
    <t>5/28(二)</t>
    <phoneticPr fontId="1" type="noConversion"/>
  </si>
  <si>
    <t>5/30(四)</t>
    <phoneticPr fontId="1" type="noConversion"/>
  </si>
  <si>
    <t>15-1</t>
    <phoneticPr fontId="1" type="noConversion"/>
  </si>
  <si>
    <t>15-2</t>
    <phoneticPr fontId="1" type="noConversion"/>
  </si>
  <si>
    <t>2024</t>
    <phoneticPr fontId="1" type="noConversion"/>
  </si>
  <si>
    <t>2024</t>
    <phoneticPr fontId="1" type="noConversion"/>
  </si>
  <si>
    <t>6/3(一)</t>
    <phoneticPr fontId="1" type="noConversion"/>
  </si>
  <si>
    <t>2024</t>
    <phoneticPr fontId="1" type="noConversion"/>
  </si>
  <si>
    <t>賣4-1</t>
    <phoneticPr fontId="1" type="noConversion"/>
  </si>
  <si>
    <t>賣4-2</t>
    <phoneticPr fontId="1" type="noConversion"/>
  </si>
  <si>
    <t>賣4-3</t>
    <phoneticPr fontId="1" type="noConversion"/>
  </si>
  <si>
    <t>賣4-4</t>
    <phoneticPr fontId="1" type="noConversion"/>
  </si>
  <si>
    <t>賣5</t>
    <phoneticPr fontId="1" type="noConversion"/>
  </si>
  <si>
    <t>6/4(二)</t>
    <phoneticPr fontId="1" type="noConversion"/>
  </si>
  <si>
    <t>16-1</t>
    <phoneticPr fontId="1" type="noConversion"/>
  </si>
  <si>
    <t>16-2</t>
    <phoneticPr fontId="1" type="noConversion"/>
  </si>
  <si>
    <t>113</t>
    <phoneticPr fontId="1" type="noConversion"/>
  </si>
  <si>
    <t>6/4(二)</t>
    <phoneticPr fontId="1" type="noConversion"/>
  </si>
  <si>
    <t>賣6-1</t>
    <phoneticPr fontId="1" type="noConversion"/>
  </si>
  <si>
    <t>2024</t>
    <phoneticPr fontId="1" type="noConversion"/>
  </si>
  <si>
    <t>6/7(五)</t>
    <phoneticPr fontId="1" type="noConversion"/>
  </si>
  <si>
    <t>5/17→6/14</t>
    <phoneticPr fontId="1" type="noConversion"/>
  </si>
  <si>
    <t>賣7</t>
    <phoneticPr fontId="1" type="noConversion"/>
  </si>
  <si>
    <t>2024</t>
    <phoneticPr fontId="1" type="noConversion"/>
  </si>
  <si>
    <t>6/11(二)</t>
    <phoneticPr fontId="1" type="noConversion"/>
  </si>
  <si>
    <t>賣8-1</t>
    <phoneticPr fontId="1" type="noConversion"/>
  </si>
  <si>
    <t>賣8-3</t>
  </si>
  <si>
    <t>賣8-4</t>
  </si>
  <si>
    <t>賣8-5</t>
  </si>
  <si>
    <t>2024</t>
  </si>
  <si>
    <t>2024</t>
    <phoneticPr fontId="1" type="noConversion"/>
  </si>
  <si>
    <t>6/12(三)</t>
    <phoneticPr fontId="1" type="noConversion"/>
  </si>
  <si>
    <t>賣9</t>
    <phoneticPr fontId="1" type="noConversion"/>
  </si>
  <si>
    <t>2024</t>
    <phoneticPr fontId="1" type="noConversion"/>
  </si>
  <si>
    <t>6/13(四)</t>
    <phoneticPr fontId="1" type="noConversion"/>
  </si>
  <si>
    <t>賣10-1</t>
    <phoneticPr fontId="1" type="noConversion"/>
  </si>
  <si>
    <t>賣10-2</t>
  </si>
  <si>
    <t>6/14(五)</t>
    <phoneticPr fontId="1" type="noConversion"/>
  </si>
  <si>
    <t>6/14(五)</t>
    <phoneticPr fontId="1" type="noConversion"/>
  </si>
  <si>
    <t>領6/14</t>
    <phoneticPr fontId="1" type="noConversion"/>
  </si>
  <si>
    <t>6505台塑化</t>
    <phoneticPr fontId="1" type="noConversion"/>
  </si>
  <si>
    <t>1</t>
    <phoneticPr fontId="1" type="noConversion"/>
  </si>
  <si>
    <t>6/19(三)</t>
    <phoneticPr fontId="1" type="noConversion"/>
  </si>
  <si>
    <t>賣3-1</t>
    <phoneticPr fontId="1" type="noConversion"/>
  </si>
  <si>
    <t>6/24(一)</t>
    <phoneticPr fontId="1" type="noConversion"/>
  </si>
  <si>
    <t>113</t>
    <phoneticPr fontId="1" type="noConversion"/>
  </si>
  <si>
    <t>7/9→8/7</t>
    <phoneticPr fontId="1" type="noConversion"/>
  </si>
  <si>
    <t>賣4-1</t>
    <phoneticPr fontId="1" type="noConversion"/>
  </si>
  <si>
    <t>113</t>
    <phoneticPr fontId="1" type="noConversion"/>
  </si>
  <si>
    <t>6/27(四)</t>
    <phoneticPr fontId="1" type="noConversion"/>
  </si>
  <si>
    <t>賣4-2</t>
    <phoneticPr fontId="1" type="noConversion"/>
  </si>
  <si>
    <t>2024/8/7(三)</t>
    <phoneticPr fontId="1" type="noConversion"/>
  </si>
  <si>
    <t>賣5-1</t>
    <phoneticPr fontId="1" type="noConversion"/>
  </si>
  <si>
    <t>113</t>
    <phoneticPr fontId="1" type="noConversion"/>
  </si>
  <si>
    <t>7/2(二)</t>
    <phoneticPr fontId="1" type="noConversion"/>
  </si>
  <si>
    <t>分配</t>
    <phoneticPr fontId="1" type="noConversion"/>
  </si>
  <si>
    <t>113</t>
    <phoneticPr fontId="1" type="noConversion"/>
  </si>
  <si>
    <t>6/20→7/15</t>
    <phoneticPr fontId="1" type="noConversion"/>
  </si>
  <si>
    <t>賣6/1</t>
    <phoneticPr fontId="1" type="noConversion"/>
  </si>
  <si>
    <t>賣6/2</t>
    <phoneticPr fontId="1" type="noConversion"/>
  </si>
  <si>
    <t>7/12(五)</t>
    <phoneticPr fontId="1" type="noConversion"/>
  </si>
  <si>
    <t>113</t>
    <phoneticPr fontId="1" type="noConversion"/>
  </si>
  <si>
    <t>8/16→9/12</t>
    <phoneticPr fontId="1" type="noConversion"/>
  </si>
  <si>
    <t>領9/12</t>
    <phoneticPr fontId="1" type="noConversion"/>
  </si>
  <si>
    <t>8/9(五)</t>
    <phoneticPr fontId="1" type="noConversion"/>
  </si>
  <si>
    <t>8/8→9/13</t>
    <phoneticPr fontId="1" type="noConversion"/>
  </si>
  <si>
    <t>7/25→8/29</t>
    <phoneticPr fontId="1" type="noConversion"/>
  </si>
  <si>
    <t>8/6→8/29</t>
    <phoneticPr fontId="1" type="noConversion"/>
  </si>
  <si>
    <t>8/1→8/28</t>
    <phoneticPr fontId="1" type="noConversion"/>
  </si>
  <si>
    <t>製表：2024/09/18(三)</t>
    <phoneticPr fontId="1" type="noConversion"/>
  </si>
  <si>
    <t>台塑化</t>
    <phoneticPr fontId="1" type="noConversion"/>
  </si>
  <si>
    <t>※手續費已*0.45計(45折)，現值為尚未扣除手續費</t>
    <phoneticPr fontId="1" type="noConversion"/>
  </si>
  <si>
    <t>17</t>
    <phoneticPr fontId="1" type="noConversion"/>
  </si>
  <si>
    <t>113</t>
    <phoneticPr fontId="1" type="noConversion"/>
  </si>
  <si>
    <t>10/8(二)</t>
    <phoneticPr fontId="1" type="noConversion"/>
  </si>
  <si>
    <t>18-1</t>
    <phoneticPr fontId="1" type="noConversion"/>
  </si>
  <si>
    <t>18-2</t>
    <phoneticPr fontId="1" type="noConversion"/>
  </si>
  <si>
    <t>113</t>
    <phoneticPr fontId="1" type="noConversion"/>
  </si>
  <si>
    <t>10/16(三)</t>
    <phoneticPr fontId="1" type="noConversion"/>
  </si>
  <si>
    <t>113</t>
    <phoneticPr fontId="1" type="noConversion"/>
  </si>
  <si>
    <t>19-1</t>
    <phoneticPr fontId="1" type="noConversion"/>
  </si>
  <si>
    <t>19-2</t>
    <phoneticPr fontId="1" type="noConversion"/>
  </si>
  <si>
    <t>113</t>
    <phoneticPr fontId="1" type="noConversion"/>
  </si>
  <si>
    <t>10/23(三)</t>
    <phoneticPr fontId="1" type="noConversion"/>
  </si>
  <si>
    <t>113</t>
    <phoneticPr fontId="1" type="noConversion"/>
  </si>
  <si>
    <t>11/12(二)</t>
    <phoneticPr fontId="1" type="noConversion"/>
  </si>
  <si>
    <t>20</t>
    <phoneticPr fontId="1" type="noConversion"/>
  </si>
  <si>
    <t>113</t>
    <phoneticPr fontId="1" type="noConversion"/>
  </si>
  <si>
    <t>10/28(一 )</t>
    <phoneticPr fontId="1" type="noConversion"/>
  </si>
  <si>
    <t>21-1</t>
    <phoneticPr fontId="1" type="noConversion"/>
  </si>
  <si>
    <t>21-2</t>
    <phoneticPr fontId="1" type="noConversion"/>
  </si>
  <si>
    <t>10/29(二 )</t>
    <phoneticPr fontId="1" type="noConversion"/>
  </si>
  <si>
    <t>113</t>
    <phoneticPr fontId="1" type="noConversion"/>
  </si>
  <si>
    <t>10/29(二 )</t>
    <phoneticPr fontId="1" type="noConversion"/>
  </si>
  <si>
    <t>22-1</t>
    <phoneticPr fontId="1" type="noConversion"/>
  </si>
  <si>
    <t>22-2</t>
    <phoneticPr fontId="1" type="noConversion"/>
  </si>
  <si>
    <t>113</t>
    <phoneticPr fontId="1" type="noConversion"/>
  </si>
  <si>
    <t>11/11(一 )</t>
    <phoneticPr fontId="1" type="noConversion"/>
  </si>
  <si>
    <t>22-3</t>
    <phoneticPr fontId="1" type="noConversion"/>
  </si>
  <si>
    <t>23</t>
    <phoneticPr fontId="1" type="noConversion"/>
  </si>
  <si>
    <t>113</t>
    <phoneticPr fontId="1" type="noConversion"/>
  </si>
  <si>
    <t>11/29(五 )</t>
    <phoneticPr fontId="1" type="noConversion"/>
  </si>
  <si>
    <t>113</t>
    <phoneticPr fontId="1" type="noConversion"/>
  </si>
  <si>
    <t>11/18→12/12</t>
    <phoneticPr fontId="1" type="noConversion"/>
  </si>
  <si>
    <t>領12/12</t>
    <phoneticPr fontId="1" type="noConversion"/>
  </si>
  <si>
    <t>114</t>
    <phoneticPr fontId="1" type="noConversion"/>
  </si>
  <si>
    <t>領3/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</si>
</sst>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-* #,##0.00_-;\-* #,##0.00_-;_-* &quot;-&quot;??_-;_-@_-"/>
    <numFmt numFmtId="176" formatCode="m/d;@"/>
    <numFmt numFmtId="177" formatCode="_-* #,##0_-;\-* #,##0_-;_-* &quot;-&quot;??_-;_-@_-"/>
    <numFmt numFmtId="178" formatCode="_-* #,##0.000_-;\-* #,##0.000_-;_-* &quot;-&quot;??_-;_-@_-"/>
    <numFmt numFmtId="179" formatCode="0.00000_ "/>
    <numFmt numFmtId="180" formatCode="0.0000_ "/>
    <numFmt numFmtId="181" formatCode="_-* #,##0.0_-;\-* #,##0.0_-;_-* &quot;-&quot;??_-;_-@_-"/>
    <numFmt numFmtId="182" formatCode="_-* #,##0.0000_-;\-* #,##0.0000_-;_-* &quot;-&quot;??_-;_-@_-"/>
    <numFmt numFmtId="183" formatCode="_-* #,##0.00000_-;\-* #,##0.00000_-;_-* &quot;-&quot;??_-;_-@_-"/>
    <numFmt numFmtId="184" formatCode="0.0"/>
    <numFmt numFmtId="185" formatCode="0.0_ "/>
    <numFmt numFmtId="186" formatCode="_-* #,##0.000000_-;\-* #,##0.000000_-;_-* &quot;-&quot;??_-;_-@_-"/>
    <numFmt numFmtId="187" formatCode="0.0000"/>
    <numFmt numFmtId="188" formatCode="0.00_ "/>
    <numFmt numFmtId="189" formatCode="0.000000_ "/>
    <numFmt numFmtId="190" formatCode="0.000"/>
    <numFmt numFmtId="191" formatCode="0.0_);[Red]\(0.0\)"/>
    <numFmt numFmtId="192" formatCode="0_);[Red]\(0\)"/>
  </numFmts>
  <fonts count="2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u/>
      <sz val="14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i/>
      <sz val="11"/>
      <color theme="1"/>
      <name val="新細明體"/>
      <family val="1"/>
      <charset val="136"/>
      <scheme val="minor"/>
    </font>
    <font>
      <b/>
      <i/>
      <sz val="11"/>
      <color theme="1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9"/>
      <color theme="1"/>
      <name val="Microsoft JhengHei"/>
      <family val="2"/>
      <charset val="136"/>
    </font>
    <font>
      <sz val="8"/>
      <color theme="1"/>
      <name val="新細明體"/>
      <family val="1"/>
      <charset val="136"/>
      <scheme val="minor"/>
    </font>
    <font>
      <b/>
      <sz val="11"/>
      <color theme="0"/>
      <name val="新細明體"/>
      <family val="1"/>
      <charset val="136"/>
      <scheme val="minor"/>
    </font>
    <font>
      <b/>
      <sz val="10"/>
      <color theme="0"/>
      <name val="新細明體"/>
      <family val="1"/>
      <charset val="136"/>
      <scheme val="minor"/>
    </font>
    <font>
      <sz val="11"/>
      <color theme="0" tint="-4.9989318521683403E-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lightTrellis"/>
    </fill>
    <fill>
      <patternFill patternType="gray0625"/>
    </fill>
    <fill>
      <patternFill patternType="gray0625"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rgb="FFFFFF00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444">
    <xf numFmtId="0" fontId="0" fillId="0" borderId="0" xfId="0">
      <alignment vertical="center"/>
    </xf>
    <xf numFmtId="49" fontId="0" fillId="0" borderId="3" xfId="0" applyNumberFormat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3" xfId="0" applyNumberFormat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2" borderId="3" xfId="1" applyFont="1" applyFill="1" applyBorder="1" applyAlignment="1">
      <alignment horizontal="center" vertical="center"/>
    </xf>
    <xf numFmtId="177" fontId="0" fillId="0" borderId="3" xfId="1" applyNumberFormat="1" applyFont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177" fontId="0" fillId="2" borderId="3" xfId="1" applyNumberFormat="1" applyFont="1" applyFill="1" applyBorder="1" applyAlignment="1">
      <alignment horizontal="center" vertical="center"/>
    </xf>
    <xf numFmtId="177" fontId="2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vertical="center" shrinkToFit="1"/>
    </xf>
    <xf numFmtId="177" fontId="0" fillId="0" borderId="3" xfId="0" applyNumberForma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177" fontId="0" fillId="0" borderId="3" xfId="1" applyNumberFormat="1" applyFont="1" applyBorder="1" applyAlignment="1">
      <alignment horizontal="right" vertical="center"/>
    </xf>
    <xf numFmtId="178" fontId="0" fillId="0" borderId="3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177" fontId="0" fillId="2" borderId="3" xfId="1" applyNumberFormat="1" applyFont="1" applyFill="1" applyBorder="1" applyAlignment="1">
      <alignment horizontal="right" vertical="center"/>
    </xf>
    <xf numFmtId="178" fontId="0" fillId="2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2" borderId="3" xfId="1" applyNumberFormat="1" applyFont="1" applyFill="1" applyBorder="1" applyAlignment="1">
      <alignment horizontal="center" vertical="center"/>
    </xf>
    <xf numFmtId="177" fontId="0" fillId="4" borderId="3" xfId="1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77" fontId="2" fillId="4" borderId="3" xfId="1" applyNumberFormat="1" applyFont="1" applyFill="1" applyBorder="1" applyAlignment="1">
      <alignment horizontal="center" vertical="center"/>
    </xf>
    <xf numFmtId="182" fontId="0" fillId="0" borderId="3" xfId="1" applyNumberFormat="1" applyFont="1" applyBorder="1" applyAlignment="1">
      <alignment horizontal="center" vertical="center"/>
    </xf>
    <xf numFmtId="183" fontId="0" fillId="0" borderId="3" xfId="1" applyNumberFormat="1" applyFont="1" applyBorder="1" applyAlignment="1">
      <alignment horizontal="center" vertical="center"/>
    </xf>
    <xf numFmtId="178" fontId="0" fillId="0" borderId="3" xfId="1" applyNumberFormat="1" applyFont="1" applyBorder="1" applyAlignment="1">
      <alignment horizontal="right" vertical="center"/>
    </xf>
    <xf numFmtId="182" fontId="0" fillId="0" borderId="3" xfId="1" applyNumberFormat="1" applyFont="1" applyBorder="1" applyAlignment="1">
      <alignment horizontal="right" vertical="center"/>
    </xf>
    <xf numFmtId="184" fontId="0" fillId="0" borderId="3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7" fontId="0" fillId="0" borderId="3" xfId="1" applyNumberFormat="1" applyFont="1" applyFill="1" applyBorder="1" applyAlignment="1">
      <alignment horizontal="center" vertical="center"/>
    </xf>
    <xf numFmtId="177" fontId="2" fillId="0" borderId="3" xfId="1" applyNumberFormat="1" applyFont="1" applyFill="1" applyBorder="1" applyAlignment="1">
      <alignment horizontal="center" vertical="center"/>
    </xf>
    <xf numFmtId="178" fontId="0" fillId="0" borderId="3" xfId="1" applyNumberFormat="1" applyFont="1" applyFill="1" applyBorder="1" applyAlignment="1">
      <alignment horizontal="right" vertical="center"/>
    </xf>
    <xf numFmtId="182" fontId="0" fillId="0" borderId="3" xfId="1" applyNumberFormat="1" applyFont="1" applyFill="1" applyBorder="1" applyAlignment="1">
      <alignment horizontal="right" vertical="center"/>
    </xf>
    <xf numFmtId="178" fontId="0" fillId="0" borderId="3" xfId="1" applyNumberFormat="1" applyFont="1" applyFill="1" applyBorder="1" applyAlignment="1">
      <alignment horizontal="center" vertical="center"/>
    </xf>
    <xf numFmtId="182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9" fontId="0" fillId="1" borderId="3" xfId="0" applyNumberFormat="1" applyFill="1" applyBorder="1" applyAlignment="1">
      <alignment horizontal="center" vertical="center"/>
    </xf>
    <xf numFmtId="176" fontId="0" fillId="1" borderId="3" xfId="0" applyNumberFormat="1" applyFill="1" applyBorder="1" applyAlignment="1">
      <alignment horizontal="center" vertical="center"/>
    </xf>
    <xf numFmtId="0" fontId="0" fillId="1" borderId="3" xfId="0" applyFill="1" applyBorder="1" applyAlignment="1">
      <alignment horizontal="center" vertical="center"/>
    </xf>
    <xf numFmtId="184" fontId="0" fillId="1" borderId="3" xfId="0" applyNumberFormat="1" applyFill="1" applyBorder="1" applyAlignment="1">
      <alignment horizontal="center" vertical="center"/>
    </xf>
    <xf numFmtId="178" fontId="0" fillId="1" borderId="3" xfId="0" applyNumberFormat="1" applyFill="1" applyBorder="1" applyAlignment="1">
      <alignment horizontal="center" vertical="center"/>
    </xf>
    <xf numFmtId="177" fontId="0" fillId="1" borderId="3" xfId="1" applyNumberFormat="1" applyFont="1" applyFill="1" applyBorder="1" applyAlignment="1">
      <alignment horizontal="center" vertical="center"/>
    </xf>
    <xf numFmtId="177" fontId="2" fillId="1" borderId="3" xfId="1" applyNumberFormat="1" applyFont="1" applyFill="1" applyBorder="1" applyAlignment="1">
      <alignment horizontal="center" vertical="center"/>
    </xf>
    <xf numFmtId="177" fontId="0" fillId="1" borderId="3" xfId="0" applyNumberFormat="1" applyFill="1" applyBorder="1" applyAlignment="1">
      <alignment horizontal="center" vertical="center"/>
    </xf>
    <xf numFmtId="178" fontId="0" fillId="1" borderId="3" xfId="1" applyNumberFormat="1" applyFont="1" applyFill="1" applyBorder="1" applyAlignment="1">
      <alignment horizontal="right" vertical="center"/>
    </xf>
    <xf numFmtId="182" fontId="0" fillId="1" borderId="3" xfId="1" applyNumberFormat="1" applyFont="1" applyFill="1" applyBorder="1" applyAlignment="1">
      <alignment horizontal="right" vertical="center"/>
    </xf>
    <xf numFmtId="178" fontId="0" fillId="1" borderId="3" xfId="1" applyNumberFormat="1" applyFont="1" applyFill="1" applyBorder="1" applyAlignment="1">
      <alignment horizontal="center" vertical="center"/>
    </xf>
    <xf numFmtId="182" fontId="0" fillId="1" borderId="3" xfId="1" applyNumberFormat="1" applyFont="1" applyFill="1" applyBorder="1" applyAlignment="1">
      <alignment horizontal="center" vertical="center"/>
    </xf>
    <xf numFmtId="185" fontId="0" fillId="0" borderId="3" xfId="0" applyNumberFormat="1" applyBorder="1" applyAlignment="1">
      <alignment horizontal="center" vertical="center"/>
    </xf>
    <xf numFmtId="181" fontId="0" fillId="0" borderId="3" xfId="1" applyNumberFormat="1" applyFont="1" applyBorder="1" applyAlignment="1">
      <alignment horizontal="right" vertical="center"/>
    </xf>
    <xf numFmtId="0" fontId="0" fillId="4" borderId="3" xfId="0" applyFill="1" applyBorder="1">
      <alignment vertical="center"/>
    </xf>
    <xf numFmtId="0" fontId="0" fillId="4" borderId="3" xfId="0" applyFill="1" applyBorder="1" applyAlignment="1">
      <alignment vertical="center" shrinkToFit="1"/>
    </xf>
    <xf numFmtId="178" fontId="0" fillId="2" borderId="3" xfId="1" applyNumberFormat="1" applyFont="1" applyFill="1" applyBorder="1" applyAlignment="1">
      <alignment horizontal="right" vertical="center"/>
    </xf>
    <xf numFmtId="187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3" xfId="1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right" vertical="center"/>
    </xf>
    <xf numFmtId="183" fontId="0" fillId="0" borderId="3" xfId="1" applyNumberFormat="1" applyFont="1" applyFill="1" applyBorder="1" applyAlignment="1">
      <alignment horizontal="center" vertical="center"/>
    </xf>
    <xf numFmtId="186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vertical="center"/>
    </xf>
    <xf numFmtId="177" fontId="0" fillId="5" borderId="3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1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177" fontId="3" fillId="0" borderId="5" xfId="0" applyNumberFormat="1" applyFon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177" fontId="0" fillId="4" borderId="6" xfId="1" applyNumberFormat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177" fontId="0" fillId="4" borderId="7" xfId="0" applyNumberFormat="1" applyFill="1" applyBorder="1" applyAlignment="1">
      <alignment horizontal="center" vertical="center"/>
    </xf>
    <xf numFmtId="177" fontId="0" fillId="0" borderId="4" xfId="1" applyNumberFormat="1" applyFont="1" applyBorder="1" applyAlignment="1">
      <alignment horizontal="center" vertical="center"/>
    </xf>
    <xf numFmtId="177" fontId="0" fillId="2" borderId="4" xfId="0" applyNumberFormat="1" applyFill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 shrinkToFit="1"/>
    </xf>
    <xf numFmtId="177" fontId="3" fillId="2" borderId="5" xfId="0" applyNumberFormat="1" applyFont="1" applyFill="1" applyBorder="1" applyAlignment="1">
      <alignment horizontal="center" vertical="center" shrinkToFit="1"/>
    </xf>
    <xf numFmtId="177" fontId="0" fillId="5" borderId="6" xfId="1" applyNumberFormat="1" applyFont="1" applyFill="1" applyBorder="1" applyAlignment="1">
      <alignment horizontal="center" vertical="center"/>
    </xf>
    <xf numFmtId="177" fontId="0" fillId="5" borderId="7" xfId="0" applyNumberFormat="1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7" fontId="0" fillId="0" borderId="4" xfId="1" applyNumberFormat="1" applyFont="1" applyFill="1" applyBorder="1" applyAlignment="1">
      <alignment horizontal="center" vertical="center"/>
    </xf>
    <xf numFmtId="0" fontId="0" fillId="0" borderId="4" xfId="1" applyNumberFormat="1" applyFont="1" applyFill="1" applyBorder="1" applyAlignment="1">
      <alignment horizontal="center" vertical="center"/>
    </xf>
    <xf numFmtId="177" fontId="3" fillId="2" borderId="5" xfId="0" applyNumberFormat="1" applyFont="1" applyFill="1" applyBorder="1" applyAlignment="1">
      <alignment horizontal="center" vertical="center"/>
    </xf>
    <xf numFmtId="177" fontId="0" fillId="0" borderId="3" xfId="1" applyNumberFormat="1" applyFont="1" applyFill="1" applyBorder="1" applyAlignment="1">
      <alignment horizontal="right" vertical="center"/>
    </xf>
    <xf numFmtId="184" fontId="0" fillId="2" borderId="3" xfId="0" applyNumberFormat="1" applyFill="1" applyBorder="1" applyAlignment="1">
      <alignment horizontal="center" vertical="center"/>
    </xf>
    <xf numFmtId="182" fontId="0" fillId="2" borderId="3" xfId="1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shrinkToFit="1"/>
    </xf>
    <xf numFmtId="0" fontId="3" fillId="0" borderId="5" xfId="0" applyFont="1" applyBorder="1" applyAlignment="1">
      <alignment vertical="center" shrinkToFit="1"/>
    </xf>
    <xf numFmtId="189" fontId="0" fillId="0" borderId="3" xfId="0" applyNumberFormat="1" applyBorder="1" applyAlignment="1">
      <alignment horizontal="center" vertical="center"/>
    </xf>
    <xf numFmtId="184" fontId="0" fillId="0" borderId="3" xfId="1" applyNumberFormat="1" applyFon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178" fontId="0" fillId="0" borderId="4" xfId="1" applyNumberFormat="1" applyFont="1" applyBorder="1" applyAlignment="1">
      <alignment horizontal="center" vertical="center"/>
    </xf>
    <xf numFmtId="181" fontId="0" fillId="0" borderId="3" xfId="1" applyNumberFormat="1" applyFont="1" applyFill="1" applyBorder="1" applyAlignment="1">
      <alignment horizontal="right" vertical="center"/>
    </xf>
    <xf numFmtId="181" fontId="0" fillId="0" borderId="4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87" fontId="0" fillId="0" borderId="4" xfId="0" applyNumberFormat="1" applyBorder="1" applyAlignment="1">
      <alignment horizontal="center" vertical="center"/>
    </xf>
    <xf numFmtId="188" fontId="0" fillId="0" borderId="3" xfId="0" applyNumberFormat="1" applyBorder="1" applyAlignment="1">
      <alignment horizontal="center" vertical="center"/>
    </xf>
    <xf numFmtId="187" fontId="0" fillId="0" borderId="3" xfId="1" applyNumberFormat="1" applyFont="1" applyBorder="1" applyAlignment="1">
      <alignment horizontal="center" vertical="center"/>
    </xf>
    <xf numFmtId="0" fontId="0" fillId="0" borderId="0" xfId="0" applyAlignment="1">
      <alignment vertical="center" shrinkToFit="1"/>
    </xf>
    <xf numFmtId="176" fontId="0" fillId="0" borderId="3" xfId="0" applyNumberFormat="1" applyBorder="1" applyAlignment="1">
      <alignment horizontal="center" vertical="center" shrinkToFit="1"/>
    </xf>
    <xf numFmtId="0" fontId="8" fillId="0" borderId="0" xfId="0" applyFont="1">
      <alignment vertical="center"/>
    </xf>
    <xf numFmtId="0" fontId="0" fillId="0" borderId="8" xfId="0" applyBorder="1">
      <alignment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shrinkToFit="1"/>
    </xf>
    <xf numFmtId="177" fontId="7" fillId="0" borderId="3" xfId="1" applyNumberFormat="1" applyFont="1" applyFill="1" applyBorder="1">
      <alignment vertical="center"/>
    </xf>
    <xf numFmtId="0" fontId="7" fillId="0" borderId="3" xfId="0" applyFont="1" applyBorder="1" applyAlignment="1">
      <alignment horizontal="right" vertical="center"/>
    </xf>
    <xf numFmtId="177" fontId="7" fillId="0" borderId="3" xfId="0" applyNumberFormat="1" applyFont="1" applyBorder="1">
      <alignment vertical="center"/>
    </xf>
    <xf numFmtId="0" fontId="10" fillId="0" borderId="5" xfId="0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177" fontId="7" fillId="0" borderId="5" xfId="0" applyNumberFormat="1" applyFont="1" applyBorder="1">
      <alignment vertical="center"/>
    </xf>
    <xf numFmtId="43" fontId="7" fillId="0" borderId="5" xfId="0" applyNumberFormat="1" applyFont="1" applyBorder="1">
      <alignment vertical="center"/>
    </xf>
    <xf numFmtId="0" fontId="7" fillId="0" borderId="3" xfId="0" quotePrefix="1" applyFont="1" applyBorder="1" applyAlignment="1">
      <alignment horizontal="center" vertical="center"/>
    </xf>
    <xf numFmtId="177" fontId="7" fillId="0" borderId="3" xfId="1" applyNumberFormat="1" applyFont="1" applyBorder="1">
      <alignment vertical="center"/>
    </xf>
    <xf numFmtId="0" fontId="10" fillId="0" borderId="3" xfId="0" quotePrefix="1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right" vertical="center"/>
    </xf>
    <xf numFmtId="177" fontId="7" fillId="0" borderId="9" xfId="0" applyNumberFormat="1" applyFont="1" applyBorder="1">
      <alignment vertical="center"/>
    </xf>
    <xf numFmtId="0" fontId="6" fillId="0" borderId="3" xfId="0" applyFont="1" applyBorder="1" applyAlignment="1">
      <alignment horizontal="center" vertical="center" shrinkToFit="1"/>
    </xf>
    <xf numFmtId="177" fontId="6" fillId="0" borderId="3" xfId="0" applyNumberFormat="1" applyFont="1" applyBorder="1">
      <alignment vertical="center"/>
    </xf>
    <xf numFmtId="43" fontId="13" fillId="0" borderId="3" xfId="0" applyNumberFormat="1" applyFont="1" applyBorder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14" fillId="0" borderId="0" xfId="0" applyFont="1">
      <alignment vertical="center"/>
    </xf>
    <xf numFmtId="0" fontId="10" fillId="0" borderId="4" xfId="0" quotePrefix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shrinkToFit="1"/>
    </xf>
    <xf numFmtId="177" fontId="7" fillId="0" borderId="4" xfId="1" applyNumberFormat="1" applyFont="1" applyBorder="1">
      <alignment vertical="center"/>
    </xf>
    <xf numFmtId="0" fontId="7" fillId="0" borderId="4" xfId="0" applyFont="1" applyBorder="1" applyAlignment="1">
      <alignment horizontal="right" vertical="center"/>
    </xf>
    <xf numFmtId="177" fontId="7" fillId="0" borderId="4" xfId="0" applyNumberFormat="1" applyFont="1" applyBorder="1">
      <alignment vertical="center"/>
    </xf>
    <xf numFmtId="0" fontId="10" fillId="0" borderId="7" xfId="0" quotePrefix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/>
    </xf>
    <xf numFmtId="177" fontId="7" fillId="0" borderId="7" xfId="1" applyNumberFormat="1" applyFont="1" applyFill="1" applyBorder="1">
      <alignment vertical="center"/>
    </xf>
    <xf numFmtId="0" fontId="7" fillId="0" borderId="7" xfId="0" applyFont="1" applyBorder="1" applyAlignment="1">
      <alignment horizontal="right" vertical="center"/>
    </xf>
    <xf numFmtId="2" fontId="7" fillId="0" borderId="7" xfId="0" applyNumberFormat="1" applyFont="1" applyBorder="1" applyAlignment="1">
      <alignment horizontal="right" vertical="center"/>
    </xf>
    <xf numFmtId="177" fontId="7" fillId="0" borderId="7" xfId="0" applyNumberFormat="1" applyFont="1" applyBorder="1">
      <alignment vertical="center"/>
    </xf>
    <xf numFmtId="43" fontId="7" fillId="0" borderId="7" xfId="0" applyNumberFormat="1" applyFont="1" applyBorder="1">
      <alignment vertical="center"/>
    </xf>
    <xf numFmtId="190" fontId="7" fillId="0" borderId="3" xfId="0" applyNumberFormat="1" applyFont="1" applyBorder="1" applyAlignment="1">
      <alignment horizontal="right" vertical="center"/>
    </xf>
    <xf numFmtId="190" fontId="7" fillId="0" borderId="4" xfId="0" applyNumberFormat="1" applyFont="1" applyBorder="1" applyAlignment="1">
      <alignment horizontal="right" vertical="center"/>
    </xf>
    <xf numFmtId="177" fontId="0" fillId="0" borderId="6" xfId="1" applyNumberFormat="1" applyFont="1" applyFill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 wrapText="1"/>
    </xf>
    <xf numFmtId="12" fontId="0" fillId="0" borderId="3" xfId="1" applyNumberFormat="1" applyFont="1" applyBorder="1" applyAlignment="1">
      <alignment horizontal="center" vertical="center"/>
    </xf>
    <xf numFmtId="43" fontId="7" fillId="6" borderId="3" xfId="0" applyNumberFormat="1" applyFont="1" applyFill="1" applyBorder="1">
      <alignment vertical="center"/>
    </xf>
    <xf numFmtId="43" fontId="7" fillId="6" borderId="4" xfId="0" applyNumberFormat="1" applyFont="1" applyFill="1" applyBorder="1">
      <alignment vertical="center"/>
    </xf>
    <xf numFmtId="0" fontId="10" fillId="0" borderId="12" xfId="0" applyFont="1" applyBorder="1" applyAlignment="1">
      <alignment horizontal="center" vertical="center"/>
    </xf>
    <xf numFmtId="177" fontId="7" fillId="0" borderId="1" xfId="1" applyNumberFormat="1" applyFont="1" applyFill="1" applyBorder="1">
      <alignment vertical="center"/>
    </xf>
    <xf numFmtId="177" fontId="7" fillId="0" borderId="1" xfId="1" applyNumberFormat="1" applyFont="1" applyBorder="1">
      <alignment vertical="center"/>
    </xf>
    <xf numFmtId="177" fontId="7" fillId="0" borderId="12" xfId="1" applyNumberFormat="1" applyFont="1" applyBorder="1">
      <alignment vertical="center"/>
    </xf>
    <xf numFmtId="177" fontId="7" fillId="0" borderId="14" xfId="1" applyNumberFormat="1" applyFont="1" applyFill="1" applyBorder="1">
      <alignment vertical="center"/>
    </xf>
    <xf numFmtId="177" fontId="6" fillId="0" borderId="1" xfId="0" applyNumberFormat="1" applyFont="1" applyBorder="1">
      <alignment vertical="center"/>
    </xf>
    <xf numFmtId="0" fontId="6" fillId="0" borderId="0" xfId="0" applyFont="1" applyAlignment="1">
      <alignment horizontal="center" vertical="center" shrinkToFit="1"/>
    </xf>
    <xf numFmtId="177" fontId="6" fillId="0" borderId="0" xfId="0" applyNumberFormat="1" applyFont="1">
      <alignment vertical="center"/>
    </xf>
    <xf numFmtId="43" fontId="1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6" fillId="0" borderId="0" xfId="1" applyNumberFormat="1" applyFont="1" applyBorder="1">
      <alignment vertical="center"/>
    </xf>
    <xf numFmtId="0" fontId="10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77" fontId="7" fillId="0" borderId="6" xfId="1" applyNumberFormat="1" applyFont="1" applyFill="1" applyBorder="1">
      <alignment vertical="center"/>
    </xf>
    <xf numFmtId="0" fontId="7" fillId="0" borderId="6" xfId="0" applyFont="1" applyBorder="1" applyAlignment="1">
      <alignment horizontal="right" vertical="center"/>
    </xf>
    <xf numFmtId="177" fontId="7" fillId="0" borderId="6" xfId="0" applyNumberFormat="1" applyFont="1" applyBorder="1">
      <alignment vertical="center"/>
    </xf>
    <xf numFmtId="43" fontId="7" fillId="0" borderId="6" xfId="0" applyNumberFormat="1" applyFont="1" applyBorder="1">
      <alignment vertical="center"/>
    </xf>
    <xf numFmtId="177" fontId="7" fillId="0" borderId="18" xfId="1" applyNumberFormat="1" applyFont="1" applyFill="1" applyBorder="1">
      <alignment vertical="center"/>
    </xf>
    <xf numFmtId="177" fontId="6" fillId="0" borderId="8" xfId="1" applyNumberFormat="1" applyFont="1" applyBorder="1">
      <alignment vertical="center"/>
    </xf>
    <xf numFmtId="43" fontId="6" fillId="0" borderId="19" xfId="1" applyFont="1" applyBorder="1">
      <alignment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84" fontId="4" fillId="0" borderId="22" xfId="0" applyNumberFormat="1" applyFont="1" applyBorder="1">
      <alignment vertical="center"/>
    </xf>
    <xf numFmtId="177" fontId="7" fillId="0" borderId="21" xfId="0" applyNumberFormat="1" applyFont="1" applyBorder="1">
      <alignment vertical="center"/>
    </xf>
    <xf numFmtId="184" fontId="7" fillId="0" borderId="22" xfId="0" applyNumberFormat="1" applyFont="1" applyBorder="1">
      <alignment vertical="center"/>
    </xf>
    <xf numFmtId="0" fontId="10" fillId="0" borderId="32" xfId="0" applyFont="1" applyBorder="1" applyAlignment="1">
      <alignment horizontal="center" vertical="center"/>
    </xf>
    <xf numFmtId="192" fontId="6" fillId="0" borderId="35" xfId="1" applyNumberFormat="1" applyFont="1" applyFill="1" applyBorder="1" applyAlignment="1">
      <alignment horizontal="right" vertical="center"/>
    </xf>
    <xf numFmtId="192" fontId="6" fillId="0" borderId="27" xfId="1" applyNumberFormat="1" applyFont="1" applyFill="1" applyBorder="1" applyAlignment="1">
      <alignment horizontal="right" vertical="center"/>
    </xf>
    <xf numFmtId="191" fontId="7" fillId="0" borderId="22" xfId="2" applyNumberFormat="1" applyFont="1" applyBorder="1">
      <alignment vertical="center"/>
    </xf>
    <xf numFmtId="0" fontId="10" fillId="0" borderId="32" xfId="0" applyFont="1" applyBorder="1" applyAlignment="1">
      <alignment horizontal="center" vertical="center" wrapText="1"/>
    </xf>
    <xf numFmtId="177" fontId="7" fillId="0" borderId="33" xfId="0" applyNumberFormat="1" applyFont="1" applyBorder="1">
      <alignment vertical="center"/>
    </xf>
    <xf numFmtId="177" fontId="7" fillId="0" borderId="31" xfId="0" applyNumberFormat="1" applyFont="1" applyBorder="1">
      <alignment vertical="center"/>
    </xf>
    <xf numFmtId="177" fontId="7" fillId="0" borderId="32" xfId="0" applyNumberFormat="1" applyFont="1" applyBorder="1">
      <alignment vertical="center"/>
    </xf>
    <xf numFmtId="177" fontId="7" fillId="0" borderId="36" xfId="0" applyNumberFormat="1" applyFont="1" applyBorder="1">
      <alignment vertical="center"/>
    </xf>
    <xf numFmtId="177" fontId="7" fillId="0" borderId="28" xfId="0" applyNumberFormat="1" applyFont="1" applyBorder="1">
      <alignment vertical="center"/>
    </xf>
    <xf numFmtId="14" fontId="10" fillId="0" borderId="32" xfId="0" applyNumberFormat="1" applyFont="1" applyBorder="1" applyAlignment="1">
      <alignment horizontal="center" vertical="center" wrapText="1"/>
    </xf>
    <xf numFmtId="14" fontId="10" fillId="0" borderId="22" xfId="0" applyNumberFormat="1" applyFont="1" applyBorder="1" applyAlignment="1">
      <alignment horizontal="center" vertical="center" wrapText="1"/>
    </xf>
    <xf numFmtId="177" fontId="7" fillId="0" borderId="35" xfId="0" applyNumberFormat="1" applyFont="1" applyBorder="1">
      <alignment vertical="center"/>
    </xf>
    <xf numFmtId="177" fontId="7" fillId="0" borderId="27" xfId="0" applyNumberFormat="1" applyFont="1" applyBorder="1">
      <alignment vertical="center"/>
    </xf>
    <xf numFmtId="177" fontId="7" fillId="0" borderId="34" xfId="0" applyNumberFormat="1" applyFont="1" applyBorder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0" fillId="0" borderId="38" xfId="0" applyFont="1" applyBorder="1" applyAlignment="1">
      <alignment horizontal="center" vertical="center"/>
    </xf>
    <xf numFmtId="0" fontId="7" fillId="0" borderId="4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81" fontId="12" fillId="7" borderId="27" xfId="0" applyNumberFormat="1" applyFont="1" applyFill="1" applyBorder="1">
      <alignment vertical="center"/>
    </xf>
    <xf numFmtId="177" fontId="12" fillId="7" borderId="35" xfId="0" applyNumberFormat="1" applyFont="1" applyFill="1" applyBorder="1">
      <alignment vertical="center"/>
    </xf>
    <xf numFmtId="177" fontId="7" fillId="6" borderId="32" xfId="1" applyNumberFormat="1" applyFont="1" applyFill="1" applyBorder="1">
      <alignment vertical="center"/>
    </xf>
    <xf numFmtId="177" fontId="7" fillId="6" borderId="34" xfId="1" applyNumberFormat="1" applyFont="1" applyFill="1" applyBorder="1">
      <alignment vertical="center"/>
    </xf>
    <xf numFmtId="177" fontId="12" fillId="9" borderId="26" xfId="0" applyNumberFormat="1" applyFont="1" applyFill="1" applyBorder="1">
      <alignment vertical="center"/>
    </xf>
    <xf numFmtId="184" fontId="3" fillId="9" borderId="27" xfId="0" applyNumberFormat="1" applyFont="1" applyFill="1" applyBorder="1">
      <alignment vertical="center"/>
    </xf>
    <xf numFmtId="0" fontId="7" fillId="0" borderId="44" xfId="0" applyFont="1" applyBorder="1" applyAlignment="1">
      <alignment horizontal="right" vertical="center"/>
    </xf>
    <xf numFmtId="0" fontId="0" fillId="0" borderId="1" xfId="0" applyBorder="1">
      <alignment vertical="center"/>
    </xf>
    <xf numFmtId="177" fontId="16" fillId="0" borderId="3" xfId="0" applyNumberFormat="1" applyFont="1" applyBorder="1">
      <alignment vertical="center"/>
    </xf>
    <xf numFmtId="9" fontId="16" fillId="0" borderId="3" xfId="2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shrinkToFit="1"/>
    </xf>
    <xf numFmtId="177" fontId="7" fillId="0" borderId="9" xfId="1" applyNumberFormat="1" applyFont="1" applyFill="1" applyBorder="1">
      <alignment vertical="center"/>
    </xf>
    <xf numFmtId="177" fontId="7" fillId="0" borderId="49" xfId="0" applyNumberFormat="1" applyFont="1" applyBorder="1">
      <alignment vertical="center"/>
    </xf>
    <xf numFmtId="177" fontId="7" fillId="0" borderId="50" xfId="0" applyNumberFormat="1" applyFont="1" applyBorder="1">
      <alignment vertical="center"/>
    </xf>
    <xf numFmtId="43" fontId="7" fillId="0" borderId="9" xfId="0" applyNumberFormat="1" applyFont="1" applyBorder="1">
      <alignment vertical="center"/>
    </xf>
    <xf numFmtId="177" fontId="7" fillId="0" borderId="44" xfId="1" applyNumberFormat="1" applyFont="1" applyFill="1" applyBorder="1">
      <alignment vertical="center"/>
    </xf>
    <xf numFmtId="177" fontId="11" fillId="0" borderId="51" xfId="1" applyNumberFormat="1" applyFont="1" applyBorder="1">
      <alignment vertical="center"/>
    </xf>
    <xf numFmtId="184" fontId="4" fillId="0" borderId="50" xfId="0" applyNumberFormat="1" applyFont="1" applyBorder="1">
      <alignment vertical="center"/>
    </xf>
    <xf numFmtId="192" fontId="10" fillId="0" borderId="49" xfId="1" applyNumberFormat="1" applyFont="1" applyFill="1" applyBorder="1" applyAlignment="1">
      <alignment horizontal="right" vertical="center"/>
    </xf>
    <xf numFmtId="192" fontId="10" fillId="0" borderId="50" xfId="1" applyNumberFormat="1" applyFont="1" applyFill="1" applyBorder="1" applyAlignment="1">
      <alignment horizontal="right" vertical="center"/>
    </xf>
    <xf numFmtId="177" fontId="11" fillId="0" borderId="49" xfId="0" applyNumberFormat="1" applyFont="1" applyBorder="1">
      <alignment vertical="center"/>
    </xf>
    <xf numFmtId="181" fontId="11" fillId="0" borderId="50" xfId="0" applyNumberFormat="1" applyFont="1" applyBorder="1">
      <alignment vertical="center"/>
    </xf>
    <xf numFmtId="177" fontId="7" fillId="0" borderId="22" xfId="0" applyNumberFormat="1" applyFont="1" applyBorder="1">
      <alignment vertical="center"/>
    </xf>
    <xf numFmtId="43" fontId="7" fillId="0" borderId="3" xfId="0" applyNumberFormat="1" applyFont="1" applyBorder="1">
      <alignment vertical="center"/>
    </xf>
    <xf numFmtId="177" fontId="11" fillId="0" borderId="21" xfId="1" applyNumberFormat="1" applyFont="1" applyBorder="1">
      <alignment vertical="center"/>
    </xf>
    <xf numFmtId="192" fontId="10" fillId="0" borderId="32" xfId="1" applyNumberFormat="1" applyFont="1" applyFill="1" applyBorder="1" applyAlignment="1">
      <alignment horizontal="right" vertical="center"/>
    </xf>
    <xf numFmtId="192" fontId="10" fillId="0" borderId="22" xfId="1" applyNumberFormat="1" applyFont="1" applyFill="1" applyBorder="1" applyAlignment="1">
      <alignment horizontal="right" vertical="center"/>
    </xf>
    <xf numFmtId="177" fontId="11" fillId="0" borderId="32" xfId="0" applyNumberFormat="1" applyFont="1" applyBorder="1">
      <alignment vertical="center"/>
    </xf>
    <xf numFmtId="181" fontId="11" fillId="0" borderId="22" xfId="0" applyNumberFormat="1" applyFont="1" applyBorder="1">
      <alignment vertical="center"/>
    </xf>
    <xf numFmtId="191" fontId="7" fillId="0" borderId="25" xfId="2" applyNumberFormat="1" applyFont="1" applyBorder="1">
      <alignment vertical="center"/>
    </xf>
    <xf numFmtId="177" fontId="7" fillId="0" borderId="24" xfId="0" applyNumberFormat="1" applyFont="1" applyBorder="1">
      <alignment vertical="center"/>
    </xf>
    <xf numFmtId="184" fontId="7" fillId="0" borderId="25" xfId="0" applyNumberFormat="1" applyFont="1" applyBorder="1">
      <alignment vertical="center"/>
    </xf>
    <xf numFmtId="177" fontId="6" fillId="0" borderId="34" xfId="0" applyNumberFormat="1" applyFont="1" applyBorder="1">
      <alignment vertical="center"/>
    </xf>
    <xf numFmtId="177" fontId="6" fillId="0" borderId="33" xfId="0" applyNumberFormat="1" applyFont="1" applyBorder="1">
      <alignment vertical="center"/>
    </xf>
    <xf numFmtId="177" fontId="11" fillId="0" borderId="21" xfId="1" applyNumberFormat="1" applyFont="1" applyBorder="1" applyAlignment="1">
      <alignment horizontal="center" vertical="center"/>
    </xf>
    <xf numFmtId="192" fontId="10" fillId="0" borderId="32" xfId="1" applyNumberFormat="1" applyFont="1" applyBorder="1" applyAlignment="1">
      <alignment horizontal="right" vertical="center"/>
    </xf>
    <xf numFmtId="192" fontId="10" fillId="0" borderId="22" xfId="0" applyNumberFormat="1" applyFont="1" applyBorder="1" applyAlignment="1">
      <alignment horizontal="right" vertical="center"/>
    </xf>
    <xf numFmtId="177" fontId="11" fillId="0" borderId="32" xfId="1" applyNumberFormat="1" applyFont="1" applyBorder="1" applyAlignment="1">
      <alignment horizontal="right" vertical="center" wrapText="1"/>
    </xf>
    <xf numFmtId="181" fontId="11" fillId="0" borderId="22" xfId="1" applyNumberFormat="1" applyFont="1" applyBorder="1" applyAlignment="1">
      <alignment horizontal="right" vertical="center" wrapText="1"/>
    </xf>
    <xf numFmtId="43" fontId="18" fillId="6" borderId="3" xfId="0" applyNumberFormat="1" applyFont="1" applyFill="1" applyBorder="1">
      <alignment vertical="center"/>
    </xf>
    <xf numFmtId="43" fontId="18" fillId="6" borderId="4" xfId="0" applyNumberFormat="1" applyFont="1" applyFill="1" applyBorder="1">
      <alignment vertical="center"/>
    </xf>
    <xf numFmtId="177" fontId="18" fillId="6" borderId="32" xfId="1" applyNumberFormat="1" applyFont="1" applyFill="1" applyBorder="1">
      <alignment vertical="center"/>
    </xf>
    <xf numFmtId="177" fontId="18" fillId="6" borderId="34" xfId="1" applyNumberFormat="1" applyFont="1" applyFill="1" applyBorder="1">
      <alignment vertical="center"/>
    </xf>
    <xf numFmtId="177" fontId="7" fillId="0" borderId="5" xfId="1" applyNumberFormat="1" applyFont="1" applyFill="1" applyBorder="1">
      <alignment vertical="center"/>
    </xf>
    <xf numFmtId="177" fontId="7" fillId="0" borderId="13" xfId="1" applyNumberFormat="1" applyFont="1" applyFill="1" applyBorder="1">
      <alignment vertical="center"/>
    </xf>
    <xf numFmtId="177" fontId="11" fillId="0" borderId="23" xfId="1" applyNumberFormat="1" applyFont="1" applyBorder="1">
      <alignment vertical="center"/>
    </xf>
    <xf numFmtId="184" fontId="4" fillId="0" borderId="31" xfId="0" applyNumberFormat="1" applyFont="1" applyBorder="1">
      <alignment vertical="center"/>
    </xf>
    <xf numFmtId="192" fontId="10" fillId="0" borderId="33" xfId="1" applyNumberFormat="1" applyFont="1" applyFill="1" applyBorder="1" applyAlignment="1">
      <alignment horizontal="right" vertical="center"/>
    </xf>
    <xf numFmtId="192" fontId="10" fillId="0" borderId="31" xfId="1" applyNumberFormat="1" applyFont="1" applyFill="1" applyBorder="1" applyAlignment="1">
      <alignment horizontal="right" vertical="center"/>
    </xf>
    <xf numFmtId="177" fontId="11" fillId="0" borderId="33" xfId="0" applyNumberFormat="1" applyFont="1" applyBorder="1">
      <alignment vertical="center"/>
    </xf>
    <xf numFmtId="181" fontId="11" fillId="0" borderId="31" xfId="0" applyNumberFormat="1" applyFont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177" fontId="7" fillId="0" borderId="34" xfId="1" applyNumberFormat="1" applyFont="1" applyFill="1" applyBorder="1">
      <alignment vertical="center"/>
    </xf>
    <xf numFmtId="177" fontId="7" fillId="0" borderId="25" xfId="1" applyNumberFormat="1" applyFont="1" applyFill="1" applyBorder="1">
      <alignment vertical="center"/>
    </xf>
    <xf numFmtId="177" fontId="7" fillId="0" borderId="25" xfId="0" applyNumberFormat="1" applyFont="1" applyBorder="1">
      <alignment vertical="center"/>
    </xf>
    <xf numFmtId="10" fontId="6" fillId="0" borderId="40" xfId="2" applyNumberFormat="1" applyFont="1" applyBorder="1">
      <alignment vertical="center"/>
    </xf>
    <xf numFmtId="10" fontId="6" fillId="0" borderId="8" xfId="2" applyNumberFormat="1" applyFont="1" applyBorder="1">
      <alignment vertical="center"/>
    </xf>
    <xf numFmtId="177" fontId="6" fillId="0" borderId="42" xfId="0" applyNumberFormat="1" applyFont="1" applyBorder="1">
      <alignment vertical="center"/>
    </xf>
    <xf numFmtId="177" fontId="6" fillId="0" borderId="8" xfId="0" applyNumberFormat="1" applyFont="1" applyBorder="1">
      <alignment vertical="center"/>
    </xf>
    <xf numFmtId="43" fontId="13" fillId="0" borderId="5" xfId="0" applyNumberFormat="1" applyFont="1" applyBorder="1">
      <alignment vertical="center"/>
    </xf>
    <xf numFmtId="177" fontId="6" fillId="0" borderId="13" xfId="0" applyNumberFormat="1" applyFont="1" applyBorder="1">
      <alignment vertical="center"/>
    </xf>
    <xf numFmtId="177" fontId="6" fillId="0" borderId="55" xfId="0" applyNumberFormat="1" applyFont="1" applyBorder="1">
      <alignment vertical="center"/>
    </xf>
    <xf numFmtId="177" fontId="6" fillId="0" borderId="5" xfId="0" applyNumberFormat="1" applyFont="1" applyBorder="1">
      <alignment vertical="center"/>
    </xf>
    <xf numFmtId="43" fontId="6" fillId="0" borderId="5" xfId="0" applyNumberFormat="1" applyFont="1" applyBorder="1">
      <alignment vertical="center"/>
    </xf>
    <xf numFmtId="181" fontId="15" fillId="0" borderId="58" xfId="1" applyNumberFormat="1" applyFont="1" applyFill="1" applyBorder="1" applyAlignment="1">
      <alignment horizontal="center" vertical="center"/>
    </xf>
    <xf numFmtId="181" fontId="15" fillId="0" borderId="59" xfId="0" applyNumberFormat="1" applyFont="1" applyBorder="1" applyAlignment="1">
      <alignment horizontal="center" vertical="center"/>
    </xf>
    <xf numFmtId="181" fontId="6" fillId="8" borderId="61" xfId="1" applyNumberFormat="1" applyFont="1" applyFill="1" applyBorder="1" applyAlignment="1">
      <alignment horizontal="center" vertical="center"/>
    </xf>
    <xf numFmtId="181" fontId="6" fillId="8" borderId="62" xfId="0" applyNumberFormat="1" applyFont="1" applyFill="1" applyBorder="1" applyAlignment="1">
      <alignment horizontal="center" vertical="center"/>
    </xf>
    <xf numFmtId="43" fontId="6" fillId="0" borderId="20" xfId="0" applyNumberFormat="1" applyFont="1" applyBorder="1">
      <alignment vertical="center"/>
    </xf>
    <xf numFmtId="43" fontId="6" fillId="0" borderId="56" xfId="0" applyNumberFormat="1" applyFont="1" applyBorder="1">
      <alignment vertical="center"/>
    </xf>
    <xf numFmtId="177" fontId="11" fillId="0" borderId="65" xfId="1" applyNumberFormat="1" applyFont="1" applyBorder="1">
      <alignment vertical="center"/>
    </xf>
    <xf numFmtId="2" fontId="7" fillId="0" borderId="4" xfId="0" applyNumberFormat="1" applyFont="1" applyBorder="1" applyAlignment="1">
      <alignment horizontal="right" vertical="center"/>
    </xf>
    <xf numFmtId="177" fontId="6" fillId="2" borderId="5" xfId="0" applyNumberFormat="1" applyFont="1" applyFill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10" fontId="6" fillId="0" borderId="0" xfId="2" applyNumberFormat="1" applyFont="1" applyBorder="1">
      <alignment vertical="center"/>
    </xf>
    <xf numFmtId="0" fontId="7" fillId="0" borderId="7" xfId="0" quotePrefix="1" applyFont="1" applyBorder="1" applyAlignment="1">
      <alignment horizontal="center" vertical="center"/>
    </xf>
    <xf numFmtId="177" fontId="7" fillId="0" borderId="7" xfId="1" applyNumberFormat="1" applyFont="1" applyBorder="1">
      <alignment vertical="center"/>
    </xf>
    <xf numFmtId="190" fontId="7" fillId="0" borderId="7" xfId="0" applyNumberFormat="1" applyFont="1" applyBorder="1" applyAlignment="1">
      <alignment horizontal="right" vertical="center"/>
    </xf>
    <xf numFmtId="191" fontId="7" fillId="0" borderId="28" xfId="2" applyNumberFormat="1" applyFont="1" applyBorder="1">
      <alignment vertical="center"/>
    </xf>
    <xf numFmtId="43" fontId="7" fillId="6" borderId="7" xfId="0" applyNumberFormat="1" applyFont="1" applyFill="1" applyBorder="1">
      <alignment vertical="center"/>
    </xf>
    <xf numFmtId="177" fontId="7" fillId="0" borderId="14" xfId="1" applyNumberFormat="1" applyFont="1" applyBorder="1">
      <alignment vertical="center"/>
    </xf>
    <xf numFmtId="177" fontId="7" fillId="0" borderId="69" xfId="0" applyNumberFormat="1" applyFont="1" applyBorder="1">
      <alignment vertical="center"/>
    </xf>
    <xf numFmtId="184" fontId="7" fillId="0" borderId="28" xfId="0" applyNumberFormat="1" applyFont="1" applyBorder="1">
      <alignment vertical="center"/>
    </xf>
    <xf numFmtId="177" fontId="7" fillId="6" borderId="36" xfId="1" applyNumberFormat="1" applyFont="1" applyFill="1" applyBorder="1">
      <alignment vertical="center"/>
    </xf>
    <xf numFmtId="0" fontId="0" fillId="0" borderId="69" xfId="0" applyBorder="1">
      <alignment vertical="center"/>
    </xf>
    <xf numFmtId="0" fontId="0" fillId="0" borderId="28" xfId="0" applyBorder="1">
      <alignment vertical="center"/>
    </xf>
    <xf numFmtId="177" fontId="7" fillId="0" borderId="36" xfId="1" applyNumberFormat="1" applyFont="1" applyFill="1" applyBorder="1">
      <alignment vertical="center"/>
    </xf>
    <xf numFmtId="177" fontId="7" fillId="0" borderId="28" xfId="1" applyNumberFormat="1" applyFont="1" applyFill="1" applyBorder="1">
      <alignment vertical="center"/>
    </xf>
    <xf numFmtId="182" fontId="0" fillId="0" borderId="4" xfId="0" applyNumberFormat="1" applyBorder="1" applyAlignment="1">
      <alignment horizontal="center" vertical="center"/>
    </xf>
    <xf numFmtId="43" fontId="0" fillId="0" borderId="3" xfId="1" applyFont="1" applyBorder="1" applyAlignment="1">
      <alignment horizontal="right" vertical="center"/>
    </xf>
    <xf numFmtId="49" fontId="19" fillId="0" borderId="3" xfId="0" applyNumberFormat="1" applyFont="1" applyBorder="1" applyAlignment="1">
      <alignment horizontal="center" vertical="center"/>
    </xf>
    <xf numFmtId="176" fontId="19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77" fontId="20" fillId="0" borderId="5" xfId="0" applyNumberFormat="1" applyFont="1" applyBorder="1" applyAlignment="1">
      <alignment horizontal="center" vertical="center" shrinkToFit="1"/>
    </xf>
    <xf numFmtId="178" fontId="19" fillId="0" borderId="3" xfId="1" applyNumberFormat="1" applyFont="1" applyBorder="1" applyAlignment="1">
      <alignment horizontal="right" vertical="center"/>
    </xf>
    <xf numFmtId="182" fontId="19" fillId="0" borderId="3" xfId="1" applyNumberFormat="1" applyFont="1" applyBorder="1" applyAlignment="1">
      <alignment horizontal="center" vertical="center"/>
    </xf>
    <xf numFmtId="0" fontId="19" fillId="3" borderId="0" xfId="0" applyFont="1" applyFill="1">
      <alignment vertical="center"/>
    </xf>
    <xf numFmtId="177" fontId="7" fillId="0" borderId="3" xfId="1" applyNumberFormat="1" applyFont="1" applyBorder="1" applyAlignment="1">
      <alignment vertical="center" shrinkToFit="1"/>
    </xf>
    <xf numFmtId="0" fontId="21" fillId="0" borderId="3" xfId="0" applyFont="1" applyBorder="1" applyAlignment="1">
      <alignment horizontal="center" vertical="center"/>
    </xf>
    <xf numFmtId="177" fontId="19" fillId="0" borderId="4" xfId="0" applyNumberFormat="1" applyFont="1" applyBorder="1" applyAlignment="1">
      <alignment horizontal="center" vertical="center"/>
    </xf>
    <xf numFmtId="177" fontId="0" fillId="2" borderId="6" xfId="1" applyNumberFormat="1" applyFont="1" applyFill="1" applyBorder="1" applyAlignment="1">
      <alignment horizontal="center" vertical="center"/>
    </xf>
    <xf numFmtId="177" fontId="2" fillId="2" borderId="3" xfId="1" applyNumberFormat="1" applyFont="1" applyFill="1" applyBorder="1" applyAlignment="1">
      <alignment horizontal="center" vertical="center"/>
    </xf>
    <xf numFmtId="177" fontId="0" fillId="2" borderId="7" xfId="0" applyNumberFormat="1" applyFill="1" applyBorder="1" applyAlignment="1">
      <alignment horizontal="center" vertical="center"/>
    </xf>
    <xf numFmtId="177" fontId="0" fillId="2" borderId="7" xfId="1" applyNumberFormat="1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177" fontId="19" fillId="2" borderId="7" xfId="0" applyNumberFormat="1" applyFont="1" applyFill="1" applyBorder="1" applyAlignment="1">
      <alignment horizontal="center" vertical="center"/>
    </xf>
    <xf numFmtId="176" fontId="0" fillId="10" borderId="3" xfId="0" applyNumberFormat="1" applyFill="1" applyBorder="1" applyAlignment="1">
      <alignment horizontal="center" vertical="center"/>
    </xf>
    <xf numFmtId="177" fontId="0" fillId="10" borderId="6" xfId="1" applyNumberFormat="1" applyFont="1" applyFill="1" applyBorder="1" applyAlignment="1">
      <alignment horizontal="center" vertical="center"/>
    </xf>
    <xf numFmtId="177" fontId="2" fillId="10" borderId="3" xfId="1" applyNumberFormat="1" applyFont="1" applyFill="1" applyBorder="1" applyAlignment="1">
      <alignment horizontal="center" vertical="center"/>
    </xf>
    <xf numFmtId="177" fontId="0" fillId="10" borderId="3" xfId="1" applyNumberFormat="1" applyFont="1" applyFill="1" applyBorder="1" applyAlignment="1">
      <alignment horizontal="center" vertical="center"/>
    </xf>
    <xf numFmtId="177" fontId="0" fillId="10" borderId="7" xfId="0" applyNumberFormat="1" applyFill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3" xfId="0" applyFill="1" applyBorder="1" applyAlignment="1">
      <alignment vertical="center" shrinkToFit="1"/>
    </xf>
    <xf numFmtId="0" fontId="0" fillId="2" borderId="7" xfId="0" applyFill="1" applyBorder="1">
      <alignment vertical="center"/>
    </xf>
    <xf numFmtId="181" fontId="0" fillId="2" borderId="3" xfId="1" applyNumberFormat="1" applyFont="1" applyFill="1" applyBorder="1" applyAlignment="1">
      <alignment horizontal="center" vertical="center"/>
    </xf>
    <xf numFmtId="177" fontId="0" fillId="11" borderId="3" xfId="1" applyNumberFormat="1" applyFont="1" applyFill="1" applyBorder="1" applyAlignment="1">
      <alignment horizontal="center" vertical="center"/>
    </xf>
    <xf numFmtId="0" fontId="6" fillId="0" borderId="15" xfId="0" quotePrefix="1" applyFont="1" applyBorder="1" applyAlignment="1">
      <alignment horizontal="right" vertical="center" shrinkToFit="1"/>
    </xf>
    <xf numFmtId="0" fontId="6" fillId="0" borderId="40" xfId="0" quotePrefix="1" applyFont="1" applyBorder="1" applyAlignment="1">
      <alignment horizontal="right" vertical="center" shrinkToFit="1"/>
    </xf>
    <xf numFmtId="0" fontId="6" fillId="0" borderId="41" xfId="0" quotePrefix="1" applyFont="1" applyBorder="1" applyAlignment="1">
      <alignment horizontal="right" vertical="center" shrinkToFit="1"/>
    </xf>
    <xf numFmtId="0" fontId="6" fillId="0" borderId="13" xfId="0" quotePrefix="1" applyFont="1" applyBorder="1" applyAlignment="1">
      <alignment horizontal="right" vertical="center" shrinkToFit="1"/>
    </xf>
    <xf numFmtId="0" fontId="6" fillId="0" borderId="8" xfId="0" quotePrefix="1" applyFont="1" applyBorder="1" applyAlignment="1">
      <alignment horizontal="right" vertical="center" shrinkToFit="1"/>
    </xf>
    <xf numFmtId="0" fontId="6" fillId="0" borderId="19" xfId="0" quotePrefix="1" applyFont="1" applyBorder="1" applyAlignment="1">
      <alignment horizontal="right" vertical="center" shrinkToFit="1"/>
    </xf>
    <xf numFmtId="0" fontId="6" fillId="0" borderId="12" xfId="0" applyFont="1" applyBorder="1" applyAlignment="1">
      <alignment horizontal="right" vertical="center" shrinkToFit="1"/>
    </xf>
    <xf numFmtId="0" fontId="6" fillId="0" borderId="42" xfId="0" applyFont="1" applyBorder="1" applyAlignment="1">
      <alignment horizontal="right" vertical="center" shrinkToFit="1"/>
    </xf>
    <xf numFmtId="0" fontId="6" fillId="0" borderId="43" xfId="0" applyFont="1" applyBorder="1" applyAlignment="1">
      <alignment horizontal="right" vertical="center" shrinkToFit="1"/>
    </xf>
    <xf numFmtId="0" fontId="6" fillId="0" borderId="13" xfId="0" applyFont="1" applyBorder="1" applyAlignment="1">
      <alignment horizontal="right" vertical="center" shrinkToFit="1"/>
    </xf>
    <xf numFmtId="0" fontId="6" fillId="0" borderId="8" xfId="0" applyFont="1" applyBorder="1" applyAlignment="1">
      <alignment horizontal="right" vertical="center" shrinkToFit="1"/>
    </xf>
    <xf numFmtId="0" fontId="6" fillId="0" borderId="19" xfId="0" applyFont="1" applyBorder="1" applyAlignment="1">
      <alignment horizontal="right" vertical="center" shrinkToFit="1"/>
    </xf>
    <xf numFmtId="0" fontId="6" fillId="0" borderId="4" xfId="0" applyFont="1" applyBorder="1" applyAlignment="1">
      <alignment horizontal="center" vertical="center" textRotation="255" shrinkToFit="1"/>
    </xf>
    <xf numFmtId="0" fontId="6" fillId="0" borderId="9" xfId="0" applyFont="1" applyBorder="1" applyAlignment="1">
      <alignment horizontal="center" vertical="center" textRotation="255" shrinkToFit="1"/>
    </xf>
    <xf numFmtId="0" fontId="6" fillId="0" borderId="5" xfId="0" applyFont="1" applyBorder="1" applyAlignment="1">
      <alignment horizontal="center" vertical="center" textRotation="255" shrinkToFit="1"/>
    </xf>
    <xf numFmtId="0" fontId="3" fillId="0" borderId="4" xfId="0" applyFont="1" applyBorder="1" applyAlignment="1">
      <alignment horizontal="center" vertical="center" textRotation="255" shrinkToFit="1"/>
    </xf>
    <xf numFmtId="0" fontId="3" fillId="0" borderId="9" xfId="0" applyFont="1" applyBorder="1" applyAlignment="1">
      <alignment horizontal="center" vertical="center" textRotation="255" shrinkToFit="1"/>
    </xf>
    <xf numFmtId="0" fontId="3" fillId="0" borderId="48" xfId="0" applyFont="1" applyBorder="1" applyAlignment="1">
      <alignment horizontal="center" vertical="center" textRotation="255" shrinkToFit="1"/>
    </xf>
    <xf numFmtId="0" fontId="6" fillId="0" borderId="47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177" fontId="6" fillId="0" borderId="15" xfId="0" applyNumberFormat="1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9" fontId="3" fillId="0" borderId="12" xfId="2" applyFont="1" applyBorder="1" applyAlignment="1">
      <alignment horizontal="right" vertical="center"/>
    </xf>
    <xf numFmtId="9" fontId="3" fillId="0" borderId="42" xfId="2" applyFont="1" applyBorder="1" applyAlignment="1">
      <alignment horizontal="right" vertical="center"/>
    </xf>
    <xf numFmtId="9" fontId="3" fillId="0" borderId="43" xfId="2" applyFont="1" applyBorder="1" applyAlignment="1">
      <alignment horizontal="right" vertical="center"/>
    </xf>
    <xf numFmtId="9" fontId="3" fillId="0" borderId="13" xfId="2" applyFont="1" applyBorder="1" applyAlignment="1">
      <alignment horizontal="right" vertical="center"/>
    </xf>
    <xf numFmtId="9" fontId="3" fillId="0" borderId="8" xfId="2" applyFont="1" applyBorder="1" applyAlignment="1">
      <alignment horizontal="right" vertical="center"/>
    </xf>
    <xf numFmtId="9" fontId="3" fillId="0" borderId="19" xfId="2" applyFont="1" applyBorder="1" applyAlignment="1">
      <alignment horizontal="right" vertical="center"/>
    </xf>
    <xf numFmtId="2" fontId="6" fillId="0" borderId="45" xfId="0" applyNumberFormat="1" applyFont="1" applyBorder="1" applyAlignment="1">
      <alignment horizontal="center" vertical="center"/>
    </xf>
    <xf numFmtId="2" fontId="6" fillId="0" borderId="46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77" fontId="6" fillId="0" borderId="57" xfId="1" applyNumberFormat="1" applyFont="1" applyFill="1" applyBorder="1" applyAlignment="1">
      <alignment horizontal="center" vertical="center"/>
    </xf>
    <xf numFmtId="177" fontId="6" fillId="0" borderId="60" xfId="1" applyNumberFormat="1" applyFont="1" applyFill="1" applyBorder="1" applyAlignment="1">
      <alignment horizontal="center" vertical="center"/>
    </xf>
    <xf numFmtId="177" fontId="6" fillId="7" borderId="57" xfId="0" applyNumberFormat="1" applyFont="1" applyFill="1" applyBorder="1" applyAlignment="1">
      <alignment horizontal="center" vertical="center"/>
    </xf>
    <xf numFmtId="177" fontId="6" fillId="7" borderId="60" xfId="0" applyNumberFormat="1" applyFont="1" applyFill="1" applyBorder="1" applyAlignment="1">
      <alignment horizontal="center" vertical="center"/>
    </xf>
    <xf numFmtId="177" fontId="6" fillId="0" borderId="34" xfId="1" applyNumberFormat="1" applyFont="1" applyFill="1" applyBorder="1" applyAlignment="1">
      <alignment horizontal="center" vertical="center"/>
    </xf>
    <xf numFmtId="177" fontId="6" fillId="0" borderId="54" xfId="1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81" fontId="12" fillId="7" borderId="25" xfId="0" applyNumberFormat="1" applyFont="1" applyFill="1" applyBorder="1" applyAlignment="1">
      <alignment horizontal="center" vertical="center"/>
    </xf>
    <xf numFmtId="181" fontId="12" fillId="7" borderId="53" xfId="0" applyNumberFormat="1" applyFont="1" applyFill="1" applyBorder="1" applyAlignment="1">
      <alignment horizontal="center" vertical="center"/>
    </xf>
    <xf numFmtId="177" fontId="12" fillId="7" borderId="34" xfId="0" applyNumberFormat="1" applyFont="1" applyFill="1" applyBorder="1" applyAlignment="1">
      <alignment horizontal="center" vertical="center"/>
    </xf>
    <xf numFmtId="177" fontId="12" fillId="7" borderId="54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6" fillId="9" borderId="29" xfId="0" applyNumberFormat="1" applyFont="1" applyFill="1" applyBorder="1" applyAlignment="1">
      <alignment horizontal="center" vertical="center"/>
    </xf>
    <xf numFmtId="177" fontId="6" fillId="9" borderId="52" xfId="0" applyNumberFormat="1" applyFont="1" applyFill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177" fontId="6" fillId="0" borderId="5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14" fontId="10" fillId="6" borderId="39" xfId="0" applyNumberFormat="1" applyFont="1" applyFill="1" applyBorder="1" applyAlignment="1">
      <alignment horizontal="center" vertical="center" wrapText="1"/>
    </xf>
    <xf numFmtId="177" fontId="6" fillId="0" borderId="16" xfId="1" applyNumberFormat="1" applyFont="1" applyBorder="1" applyAlignment="1">
      <alignment horizontal="right" vertical="center"/>
    </xf>
    <xf numFmtId="177" fontId="6" fillId="0" borderId="17" xfId="1" applyNumberFormat="1" applyFont="1" applyBorder="1" applyAlignment="1">
      <alignment horizontal="right" vertical="center"/>
    </xf>
    <xf numFmtId="177" fontId="17" fillId="0" borderId="11" xfId="0" applyNumberFormat="1" applyFont="1" applyBorder="1" applyAlignment="1">
      <alignment horizontal="right" vertical="center"/>
    </xf>
    <xf numFmtId="177" fontId="17" fillId="0" borderId="10" xfId="0" applyNumberFormat="1" applyFont="1" applyBorder="1" applyAlignment="1">
      <alignment horizontal="right" vertical="center"/>
    </xf>
    <xf numFmtId="177" fontId="17" fillId="0" borderId="2" xfId="0" applyNumberFormat="1" applyFont="1" applyBorder="1" applyAlignment="1">
      <alignment horizontal="right" vertical="center"/>
    </xf>
    <xf numFmtId="177" fontId="6" fillId="0" borderId="25" xfId="1" applyNumberFormat="1" applyFont="1" applyFill="1" applyBorder="1" applyAlignment="1">
      <alignment horizontal="center" vertical="center"/>
    </xf>
    <xf numFmtId="177" fontId="6" fillId="0" borderId="53" xfId="1" applyNumberFormat="1" applyFont="1" applyFill="1" applyBorder="1" applyAlignment="1">
      <alignment horizontal="center" vertical="center"/>
    </xf>
    <xf numFmtId="177" fontId="6" fillId="0" borderId="37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9" borderId="24" xfId="0" applyNumberFormat="1" applyFont="1" applyFill="1" applyBorder="1" applyAlignment="1">
      <alignment horizontal="center" vertical="center"/>
    </xf>
    <xf numFmtId="177" fontId="6" fillId="9" borderId="25" xfId="0" applyNumberFormat="1" applyFont="1" applyFill="1" applyBorder="1" applyAlignment="1">
      <alignment horizontal="center" vertical="center"/>
    </xf>
    <xf numFmtId="177" fontId="6" fillId="9" borderId="53" xfId="0" applyNumberFormat="1" applyFont="1" applyFill="1" applyBorder="1" applyAlignment="1">
      <alignment horizontal="center" vertical="center"/>
    </xf>
    <xf numFmtId="43" fontId="6" fillId="0" borderId="29" xfId="0" applyNumberFormat="1" applyFont="1" applyBorder="1" applyAlignment="1">
      <alignment horizontal="center" vertical="center"/>
    </xf>
    <xf numFmtId="43" fontId="6" fillId="0" borderId="23" xfId="0" applyNumberFormat="1" applyFont="1" applyBorder="1" applyAlignment="1">
      <alignment horizontal="center" vertical="center"/>
    </xf>
    <xf numFmtId="43" fontId="13" fillId="0" borderId="24" xfId="0" applyNumberFormat="1" applyFont="1" applyBorder="1" applyAlignment="1">
      <alignment horizontal="center" vertical="center"/>
    </xf>
    <xf numFmtId="43" fontId="6" fillId="0" borderId="5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7" fontId="6" fillId="0" borderId="6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textRotation="255" shrinkToFit="1"/>
    </xf>
    <xf numFmtId="177" fontId="6" fillId="6" borderId="63" xfId="0" applyNumberFormat="1" applyFont="1" applyFill="1" applyBorder="1" applyAlignment="1">
      <alignment horizontal="center" vertical="center"/>
    </xf>
    <xf numFmtId="177" fontId="6" fillId="6" borderId="64" xfId="0" applyNumberFormat="1" applyFont="1" applyFill="1" applyBorder="1" applyAlignment="1">
      <alignment horizontal="center" vertical="center"/>
    </xf>
    <xf numFmtId="177" fontId="6" fillId="0" borderId="50" xfId="1" applyNumberFormat="1" applyFont="1" applyFill="1" applyBorder="1" applyAlignment="1">
      <alignment horizontal="center" vertical="center"/>
    </xf>
    <xf numFmtId="177" fontId="12" fillId="7" borderId="49" xfId="0" applyNumberFormat="1" applyFont="1" applyFill="1" applyBorder="1" applyAlignment="1">
      <alignment horizontal="center" vertical="center"/>
    </xf>
    <xf numFmtId="181" fontId="12" fillId="7" borderId="50" xfId="0" applyNumberFormat="1" applyFont="1" applyFill="1" applyBorder="1" applyAlignment="1">
      <alignment horizontal="center" vertical="center"/>
    </xf>
    <xf numFmtId="0" fontId="6" fillId="0" borderId="44" xfId="0" quotePrefix="1" applyFont="1" applyBorder="1" applyAlignment="1">
      <alignment horizontal="right" vertical="center" shrinkToFit="1"/>
    </xf>
    <xf numFmtId="0" fontId="6" fillId="0" borderId="0" xfId="0" quotePrefix="1" applyFont="1" applyAlignment="1">
      <alignment horizontal="right" vertical="center" shrinkToFit="1"/>
    </xf>
    <xf numFmtId="0" fontId="6" fillId="0" borderId="66" xfId="0" quotePrefix="1" applyFont="1" applyBorder="1" applyAlignment="1">
      <alignment horizontal="right" vertical="center" shrinkToFit="1"/>
    </xf>
    <xf numFmtId="177" fontId="6" fillId="0" borderId="44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66" xfId="0" applyFont="1" applyBorder="1" applyAlignment="1">
      <alignment horizontal="left" vertical="center"/>
    </xf>
    <xf numFmtId="2" fontId="6" fillId="0" borderId="67" xfId="0" applyNumberFormat="1" applyFont="1" applyBorder="1" applyAlignment="1">
      <alignment horizontal="center" vertical="center"/>
    </xf>
    <xf numFmtId="177" fontId="6" fillId="0" borderId="49" xfId="0" applyNumberFormat="1" applyFont="1" applyBorder="1" applyAlignment="1">
      <alignment horizontal="center" vertical="center"/>
    </xf>
    <xf numFmtId="43" fontId="6" fillId="0" borderId="51" xfId="0" applyNumberFormat="1" applyFont="1" applyBorder="1" applyAlignment="1">
      <alignment horizontal="center" vertical="center"/>
    </xf>
    <xf numFmtId="177" fontId="6" fillId="0" borderId="68" xfId="1" applyNumberFormat="1" applyFont="1" applyBorder="1" applyAlignment="1">
      <alignment horizontal="right" vertical="center"/>
    </xf>
    <xf numFmtId="177" fontId="6" fillId="9" borderId="51" xfId="0" applyNumberFormat="1" applyFont="1" applyFill="1" applyBorder="1" applyAlignment="1">
      <alignment horizontal="center" vertical="center"/>
    </xf>
    <xf numFmtId="177" fontId="6" fillId="9" borderId="50" xfId="0" applyNumberFormat="1" applyFont="1" applyFill="1" applyBorder="1" applyAlignment="1">
      <alignment horizontal="center" vertical="center"/>
    </xf>
    <xf numFmtId="177" fontId="6" fillId="0" borderId="49" xfId="1" applyNumberFormat="1" applyFont="1" applyFill="1" applyBorder="1" applyAlignment="1">
      <alignment horizontal="center" vertical="center"/>
    </xf>
    <xf numFmtId="14" fontId="18" fillId="6" borderId="1" xfId="0" applyNumberFormat="1" applyFont="1" applyFill="1" applyBorder="1" applyAlignment="1">
      <alignment horizontal="center" vertical="center" wrapText="1"/>
    </xf>
    <xf numFmtId="14" fontId="18" fillId="6" borderId="10" xfId="0" applyNumberFormat="1" applyFont="1" applyFill="1" applyBorder="1" applyAlignment="1">
      <alignment horizontal="center" vertical="center" wrapText="1"/>
    </xf>
    <xf numFmtId="14" fontId="18" fillId="6" borderId="39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9" defaultPivotStyle="PivotStyleLight16"/>
  <colors>
    <mruColors>
      <color rgb="FFFFFF99"/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2931</xdr:colOff>
      <xdr:row>12</xdr:row>
      <xdr:rowOff>142875</xdr:rowOff>
    </xdr:from>
    <xdr:ext cx="184731" cy="280205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9996854" y="2941760"/>
          <a:ext cx="184731" cy="28020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2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2931</xdr:colOff>
      <xdr:row>12</xdr:row>
      <xdr:rowOff>142875</xdr:rowOff>
    </xdr:from>
    <xdr:ext cx="184731" cy="280205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909181" y="2600325"/>
          <a:ext cx="184731" cy="28020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200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11207</xdr:colOff>
      <xdr:row>44</xdr:row>
      <xdr:rowOff>156882</xdr:rowOff>
    </xdr:from>
    <xdr:ext cx="595035" cy="359394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6376148" y="9401735"/>
          <a:ext cx="595035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111637</xdr:colOff>
      <xdr:row>45</xdr:row>
      <xdr:rowOff>152230</xdr:rowOff>
    </xdr:from>
    <xdr:ext cx="669816" cy="359394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75AA9D95-CD67-4E3D-96D0-83DC84152C49}"/>
            </a:ext>
          </a:extLst>
        </xdr:cNvPr>
        <xdr:cNvSpPr txBox="1"/>
      </xdr:nvSpPr>
      <xdr:spPr>
        <a:xfrm>
          <a:off x="7814518" y="9702179"/>
          <a:ext cx="669816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14941</xdr:colOff>
      <xdr:row>61</xdr:row>
      <xdr:rowOff>149412</xdr:rowOff>
    </xdr:from>
    <xdr:ext cx="595035" cy="359394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75AA9D95-CD67-4E3D-96D0-83DC84152C49}"/>
            </a:ext>
          </a:extLst>
        </xdr:cNvPr>
        <xdr:cNvSpPr txBox="1"/>
      </xdr:nvSpPr>
      <xdr:spPr>
        <a:xfrm>
          <a:off x="6641353" y="13305118"/>
          <a:ext cx="595035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179295</xdr:colOff>
      <xdr:row>29</xdr:row>
      <xdr:rowOff>134472</xdr:rowOff>
    </xdr:from>
    <xdr:ext cx="595035" cy="359394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9233648" y="6185648"/>
          <a:ext cx="595035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  <xdr:oneCellAnchor>
    <xdr:from>
      <xdr:col>6</xdr:col>
      <xdr:colOff>530411</xdr:colOff>
      <xdr:row>32</xdr:row>
      <xdr:rowOff>181162</xdr:rowOff>
    </xdr:from>
    <xdr:ext cx="4665251" cy="459485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4911911" y="6451787"/>
          <a:ext cx="4665251" cy="459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總結：</a:t>
          </a:r>
          <a:endParaRPr lang="en-US" altLang="zh-TW" sz="1100"/>
        </a:p>
        <a:p>
          <a:r>
            <a:rPr lang="en-US" altLang="zh-TW" sz="1100"/>
            <a:t>108/3/4</a:t>
          </a:r>
          <a:r>
            <a:rPr lang="zh-TW" altLang="en-US" sz="1100"/>
            <a:t>至</a:t>
          </a:r>
          <a:r>
            <a:rPr lang="en-US" altLang="zh-TW" sz="1100"/>
            <a:t>109/2/13</a:t>
          </a:r>
          <a:r>
            <a:rPr lang="zh-TW" altLang="en-US" sz="1100"/>
            <a:t>，計</a:t>
          </a:r>
          <a:r>
            <a:rPr lang="en-US" altLang="zh-TW" sz="1100"/>
            <a:t>11</a:t>
          </a:r>
          <a:r>
            <a:rPr lang="zh-TW" altLang="en-US" sz="1100"/>
            <a:t>個半月期間，獲利</a:t>
          </a:r>
          <a:r>
            <a:rPr lang="en-US" altLang="zh-TW" sz="1100"/>
            <a:t>813,975/5,386,202=0.15</a:t>
          </a:r>
          <a:r>
            <a:rPr lang="zh-TW" altLang="en-US" sz="1100"/>
            <a:t>→</a:t>
          </a:r>
          <a:r>
            <a:rPr lang="en-US" altLang="zh-TW" sz="1100"/>
            <a:t>15%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4"/>
  <sheetViews>
    <sheetView zoomScale="85" zoomScaleNormal="85" workbookViewId="0">
      <selection activeCell="O20" sqref="O20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375" customWidth="1"/>
    <col min="15" max="15" width="13.25" customWidth="1"/>
    <col min="16" max="16" width="14.625" customWidth="1"/>
    <col min="17" max="17" width="7.25" customWidth="1"/>
    <col min="18" max="18" width="12.2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514</v>
      </c>
    </row>
    <row r="3" spans="1:23" ht="17.45" customHeight="1">
      <c r="A3" s="7"/>
      <c r="B3" s="72"/>
      <c r="C3" s="72"/>
      <c r="D3" s="72"/>
      <c r="E3" s="388"/>
      <c r="F3" s="389"/>
      <c r="G3" s="72"/>
      <c r="H3" s="72" t="s">
        <v>372</v>
      </c>
      <c r="I3" s="72"/>
      <c r="J3" s="72" t="s">
        <v>373</v>
      </c>
      <c r="K3" s="6"/>
      <c r="L3" s="391" t="s">
        <v>374</v>
      </c>
      <c r="M3" s="392"/>
      <c r="N3" s="120" t="s">
        <v>375</v>
      </c>
      <c r="O3" s="168" t="s">
        <v>376</v>
      </c>
      <c r="P3" s="393" t="s">
        <v>483</v>
      </c>
      <c r="Q3" s="392"/>
      <c r="R3" s="383" t="s">
        <v>484</v>
      </c>
      <c r="S3" s="378"/>
      <c r="T3" s="368" t="s">
        <v>485</v>
      </c>
      <c r="U3" s="369"/>
    </row>
    <row r="4" spans="1:23" ht="18.75" customHeight="1">
      <c r="A4" s="7"/>
      <c r="B4" s="122"/>
      <c r="C4" s="122"/>
      <c r="D4" s="122"/>
      <c r="E4" s="390" t="s">
        <v>493</v>
      </c>
      <c r="F4" s="390"/>
      <c r="G4" s="209"/>
      <c r="H4" s="395" t="s">
        <v>515</v>
      </c>
      <c r="I4" s="396"/>
      <c r="J4" s="396"/>
      <c r="K4" s="396"/>
      <c r="L4" s="396"/>
      <c r="M4" s="396"/>
      <c r="N4" s="396"/>
      <c r="O4" s="397"/>
      <c r="P4" s="376" t="s">
        <v>380</v>
      </c>
      <c r="Q4" s="377"/>
      <c r="R4" s="377"/>
      <c r="S4" s="377"/>
      <c r="T4" s="377"/>
      <c r="U4" s="378"/>
    </row>
    <row r="5" spans="1:23" ht="20.25" customHeight="1">
      <c r="A5" s="7"/>
      <c r="B5" s="383" t="s">
        <v>381</v>
      </c>
      <c r="C5" s="378"/>
      <c r="D5" s="123" t="s">
        <v>382</v>
      </c>
      <c r="E5" s="123" t="s">
        <v>383</v>
      </c>
      <c r="F5" s="123" t="s">
        <v>384</v>
      </c>
      <c r="G5" s="123"/>
      <c r="H5" s="394" t="s">
        <v>377</v>
      </c>
      <c r="I5" s="394"/>
      <c r="J5" s="394" t="s">
        <v>378</v>
      </c>
      <c r="K5" s="394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46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T6/$P$32*100</f>
        <v>1.3174082585170219</v>
      </c>
      <c r="R6" s="250">
        <v>0</v>
      </c>
      <c r="S6" s="251">
        <f>R6/$R$32*100</f>
        <v>0</v>
      </c>
      <c r="T6" s="252">
        <v>813975</v>
      </c>
      <c r="U6" s="253">
        <f>T6/$T$32*100</f>
        <v>3.9938651499291664</v>
      </c>
    </row>
    <row r="7" spans="1:23" ht="20.25" customHeight="1">
      <c r="A7" s="347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>T7/$P$32*100</f>
        <v>10.601496907584536</v>
      </c>
      <c r="R7" s="240">
        <v>0</v>
      </c>
      <c r="S7" s="241">
        <f>R7/$R$32*100</f>
        <v>0</v>
      </c>
      <c r="T7" s="242">
        <v>6550250</v>
      </c>
      <c r="U7" s="243">
        <f>T7/$T$32*100</f>
        <v>32.139580697593317</v>
      </c>
    </row>
    <row r="8" spans="1:23" ht="20.25" customHeight="1">
      <c r="A8" s="347"/>
      <c r="B8" s="121">
        <v>3</v>
      </c>
      <c r="C8" s="135"/>
      <c r="D8" s="124"/>
      <c r="E8" s="129"/>
      <c r="F8" s="129"/>
      <c r="G8" s="258"/>
      <c r="H8" s="258"/>
      <c r="I8" s="130"/>
      <c r="J8" s="130"/>
      <c r="K8" s="131"/>
      <c r="L8" s="198"/>
      <c r="M8" s="199"/>
      <c r="N8" s="132"/>
      <c r="O8" s="259"/>
      <c r="P8" s="260"/>
      <c r="Q8" s="261"/>
      <c r="R8" s="262"/>
      <c r="S8" s="263"/>
      <c r="T8" s="264"/>
      <c r="U8" s="265"/>
    </row>
    <row r="9" spans="1:23" ht="20.25" customHeight="1">
      <c r="A9" s="347"/>
      <c r="B9" s="121">
        <v>4</v>
      </c>
      <c r="C9" s="121"/>
      <c r="D9" s="128"/>
      <c r="E9" s="129"/>
      <c r="F9" s="129"/>
      <c r="G9" s="258"/>
      <c r="H9" s="258"/>
      <c r="I9" s="130"/>
      <c r="J9" s="130"/>
      <c r="K9" s="131"/>
      <c r="L9" s="198"/>
      <c r="M9" s="199"/>
      <c r="N9" s="132"/>
      <c r="O9" s="259"/>
      <c r="P9" s="260"/>
      <c r="Q9" s="261"/>
      <c r="R9" s="262"/>
      <c r="S9" s="263"/>
      <c r="T9" s="264"/>
      <c r="U9" s="265"/>
    </row>
    <row r="10" spans="1:23" ht="20.25" customHeight="1" thickBot="1">
      <c r="A10" s="347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48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SUM(P6:P7)</f>
        <v>7364225</v>
      </c>
      <c r="Q11" s="218">
        <f>T11/$P$32*100</f>
        <v>11.918905166101558</v>
      </c>
      <c r="R11" s="194">
        <f>SUM(R6:R7)</f>
        <v>0</v>
      </c>
      <c r="S11" s="195">
        <f>SUM(S6:S7)</f>
        <v>0</v>
      </c>
      <c r="T11" s="214">
        <f>SUM(T6:T7)</f>
        <v>7364225</v>
      </c>
      <c r="U11" s="213">
        <f>SUM(U6:U7)</f>
        <v>36.133445847522481</v>
      </c>
    </row>
    <row r="12" spans="1:23" ht="20.25" customHeight="1">
      <c r="A12" s="349" t="s">
        <v>513</v>
      </c>
      <c r="B12" s="133">
        <v>1</v>
      </c>
      <c r="C12" s="133" t="s">
        <v>387</v>
      </c>
      <c r="D12" s="124" t="s">
        <v>388</v>
      </c>
      <c r="E12" s="103">
        <v>0.7</v>
      </c>
      <c r="F12" s="103">
        <v>0</v>
      </c>
      <c r="G12" s="134"/>
      <c r="H12" s="134">
        <v>100000</v>
      </c>
      <c r="I12" s="126"/>
      <c r="J12" s="160">
        <v>18.77</v>
      </c>
      <c r="K12" s="127">
        <f t="shared" ref="K12:L22" si="0">I12*G12</f>
        <v>0</v>
      </c>
      <c r="L12" s="200">
        <f t="shared" si="0"/>
        <v>1877000</v>
      </c>
      <c r="M12" s="196">
        <f>L12/$L$30*100</f>
        <v>1.9352514565105388</v>
      </c>
      <c r="N12" s="166">
        <v>39.08</v>
      </c>
      <c r="O12" s="170">
        <f t="shared" ref="O12:O19" si="1">ROUND(N12*H12,0)</f>
        <v>3908000</v>
      </c>
      <c r="P12" s="191">
        <f t="shared" ref="P12:P23" si="2">O12-L12</f>
        <v>2031000</v>
      </c>
      <c r="Q12" s="192">
        <f t="shared" ref="Q12:Q23" si="3">P12/$P$32*100</f>
        <v>3.2871478522658211</v>
      </c>
      <c r="R12" s="215">
        <v>1100751</v>
      </c>
      <c r="S12" s="196">
        <f>R12/$R$32*100</f>
        <v>2.6584686804416799</v>
      </c>
      <c r="T12" s="200">
        <f>P12-R12</f>
        <v>930249</v>
      </c>
      <c r="U12" s="196">
        <f>T12/$T$32*100</f>
        <v>4.564377360307696</v>
      </c>
      <c r="W12" s="136"/>
    </row>
    <row r="13" spans="1:23" ht="20.25" customHeight="1">
      <c r="A13" s="350"/>
      <c r="B13" s="133">
        <v>2</v>
      </c>
      <c r="C13" s="133" t="s">
        <v>446</v>
      </c>
      <c r="D13" s="124" t="s">
        <v>447</v>
      </c>
      <c r="E13" s="103">
        <v>0.31</v>
      </c>
      <c r="F13" s="103">
        <v>0</v>
      </c>
      <c r="G13" s="134"/>
      <c r="H13" s="134">
        <v>400000</v>
      </c>
      <c r="I13" s="126"/>
      <c r="J13" s="160">
        <v>28.916</v>
      </c>
      <c r="K13" s="127">
        <f>I13*G13</f>
        <v>0</v>
      </c>
      <c r="L13" s="200">
        <f>J13*H13</f>
        <v>11566400</v>
      </c>
      <c r="M13" s="196">
        <f t="shared" ref="M13:M23" si="4">L13/$L$30*100</f>
        <v>11.925355592212837</v>
      </c>
      <c r="N13" s="166">
        <v>29.81</v>
      </c>
      <c r="O13" s="170">
        <f t="shared" si="1"/>
        <v>11924000</v>
      </c>
      <c r="P13" s="191">
        <f t="shared" si="2"/>
        <v>357600</v>
      </c>
      <c r="Q13" s="192">
        <f t="shared" si="3"/>
        <v>0.57877108418033363</v>
      </c>
      <c r="R13" s="215">
        <v>207478</v>
      </c>
      <c r="S13" s="196">
        <f t="shared" ref="S13:S23" si="5">R13/$R$32*100</f>
        <v>0.50108858850064997</v>
      </c>
      <c r="T13" s="200">
        <f t="shared" ref="T13:T23" si="6">P13-R13</f>
        <v>150122</v>
      </c>
      <c r="U13" s="196">
        <f t="shared" ref="U13:U23" si="7">T13/$T$32*100</f>
        <v>0.73659144818657363</v>
      </c>
    </row>
    <row r="14" spans="1:23" ht="20.25" customHeight="1">
      <c r="A14" s="350"/>
      <c r="B14" s="133">
        <v>3</v>
      </c>
      <c r="C14" s="135" t="s">
        <v>389</v>
      </c>
      <c r="D14" s="124" t="s">
        <v>390</v>
      </c>
      <c r="E14" s="103" t="s">
        <v>507</v>
      </c>
      <c r="F14" s="103" t="s">
        <v>507</v>
      </c>
      <c r="G14" s="125"/>
      <c r="H14" s="125">
        <v>488000</v>
      </c>
      <c r="I14" s="126"/>
      <c r="J14" s="160">
        <v>11.565</v>
      </c>
      <c r="K14" s="127">
        <f t="shared" si="0"/>
        <v>0</v>
      </c>
      <c r="L14" s="200">
        <f t="shared" si="0"/>
        <v>5643720</v>
      </c>
      <c r="M14" s="196">
        <f t="shared" si="4"/>
        <v>5.8188691263386563</v>
      </c>
      <c r="N14" s="166">
        <v>21.22</v>
      </c>
      <c r="O14" s="169">
        <f t="shared" si="1"/>
        <v>10355360</v>
      </c>
      <c r="P14" s="191">
        <f t="shared" si="2"/>
        <v>4711640</v>
      </c>
      <c r="Q14" s="192">
        <f t="shared" si="3"/>
        <v>7.6257298407925802</v>
      </c>
      <c r="R14" s="215">
        <v>4569171</v>
      </c>
      <c r="S14" s="196">
        <f t="shared" si="5"/>
        <v>11.0351914275639</v>
      </c>
      <c r="T14" s="200">
        <f t="shared" si="6"/>
        <v>142469</v>
      </c>
      <c r="U14" s="196">
        <f t="shared" si="7"/>
        <v>0.6990410934552761</v>
      </c>
    </row>
    <row r="15" spans="1:23" ht="20.25" customHeight="1">
      <c r="A15" s="350"/>
      <c r="B15" s="133">
        <v>4</v>
      </c>
      <c r="C15" s="135" t="s">
        <v>391</v>
      </c>
      <c r="D15" s="124" t="s">
        <v>392</v>
      </c>
      <c r="E15" s="103" t="s">
        <v>498</v>
      </c>
      <c r="F15" s="103" t="s">
        <v>498</v>
      </c>
      <c r="G15" s="134"/>
      <c r="H15" s="134">
        <v>230000</v>
      </c>
      <c r="I15" s="126"/>
      <c r="J15" s="160">
        <v>12.726000000000001</v>
      </c>
      <c r="K15" s="127">
        <f>I15*G15</f>
        <v>0</v>
      </c>
      <c r="L15" s="200">
        <f>J15*H15</f>
        <v>2926980</v>
      </c>
      <c r="M15" s="196">
        <f t="shared" si="4"/>
        <v>3.0178168930086398</v>
      </c>
      <c r="N15" s="166">
        <v>20.76</v>
      </c>
      <c r="O15" s="170">
        <f t="shared" si="1"/>
        <v>4774800</v>
      </c>
      <c r="P15" s="191">
        <f t="shared" si="2"/>
        <v>1847820</v>
      </c>
      <c r="Q15" s="192">
        <f t="shared" si="3"/>
        <v>2.9906733354868682</v>
      </c>
      <c r="R15" s="215">
        <v>1435324</v>
      </c>
      <c r="S15" s="196">
        <f t="shared" si="5"/>
        <v>3.4665095923476552</v>
      </c>
      <c r="T15" s="200">
        <f t="shared" si="6"/>
        <v>412496</v>
      </c>
      <c r="U15" s="196">
        <f t="shared" si="7"/>
        <v>2.0239606853836802</v>
      </c>
    </row>
    <row r="16" spans="1:23" ht="20.25" customHeight="1">
      <c r="A16" s="350"/>
      <c r="B16" s="133">
        <v>5</v>
      </c>
      <c r="C16" s="123">
        <v>1216</v>
      </c>
      <c r="D16" s="124" t="s">
        <v>443</v>
      </c>
      <c r="E16" s="133" t="s">
        <v>497</v>
      </c>
      <c r="F16" s="103" t="s">
        <v>507</v>
      </c>
      <c r="G16" s="134"/>
      <c r="H16" s="134">
        <v>30000</v>
      </c>
      <c r="I16" s="126"/>
      <c r="J16" s="160">
        <v>67.742999999999995</v>
      </c>
      <c r="K16" s="127"/>
      <c r="L16" s="200">
        <f>J16*H16</f>
        <v>2032289.9999999998</v>
      </c>
      <c r="M16" s="196">
        <f t="shared" si="4"/>
        <v>2.095360779196485</v>
      </c>
      <c r="N16" s="166">
        <v>78</v>
      </c>
      <c r="O16" s="170">
        <f t="shared" si="1"/>
        <v>2340000</v>
      </c>
      <c r="P16" s="191">
        <f t="shared" si="2"/>
        <v>307710.00000000023</v>
      </c>
      <c r="Q16" s="192">
        <f t="shared" si="3"/>
        <v>0.49802474919779249</v>
      </c>
      <c r="R16" s="215">
        <v>295753</v>
      </c>
      <c r="S16" s="196">
        <f t="shared" si="5"/>
        <v>0.71428514500251938</v>
      </c>
      <c r="T16" s="200">
        <f t="shared" si="6"/>
        <v>11957.000000000233</v>
      </c>
      <c r="U16" s="196">
        <f t="shared" si="7"/>
        <v>5.866844263976654E-2</v>
      </c>
    </row>
    <row r="17" spans="1:21" ht="20.25" customHeight="1">
      <c r="A17" s="350"/>
      <c r="B17" s="133">
        <v>6</v>
      </c>
      <c r="C17" s="123">
        <v>2535</v>
      </c>
      <c r="D17" s="124" t="s">
        <v>393</v>
      </c>
      <c r="E17" s="133" t="s">
        <v>497</v>
      </c>
      <c r="F17" s="103" t="s">
        <v>507</v>
      </c>
      <c r="G17" s="134"/>
      <c r="H17" s="134">
        <v>400000</v>
      </c>
      <c r="I17" s="126"/>
      <c r="J17" s="160">
        <v>15.254</v>
      </c>
      <c r="K17" s="127">
        <f t="shared" si="0"/>
        <v>0</v>
      </c>
      <c r="L17" s="200">
        <f t="shared" si="0"/>
        <v>6101600</v>
      </c>
      <c r="M17" s="196">
        <f t="shared" si="4"/>
        <v>6.2909591300184893</v>
      </c>
      <c r="N17" s="166">
        <v>51.2</v>
      </c>
      <c r="O17" s="170">
        <f t="shared" si="1"/>
        <v>20480000</v>
      </c>
      <c r="P17" s="191">
        <f t="shared" si="2"/>
        <v>14378400</v>
      </c>
      <c r="Q17" s="192">
        <f t="shared" si="3"/>
        <v>23.271258827680395</v>
      </c>
      <c r="R17" s="215">
        <v>9070484</v>
      </c>
      <c r="S17" s="196">
        <f t="shared" si="5"/>
        <v>21.906496228890433</v>
      </c>
      <c r="T17" s="200">
        <f t="shared" si="6"/>
        <v>5307916</v>
      </c>
      <c r="U17" s="196">
        <f t="shared" si="7"/>
        <v>26.043921166069499</v>
      </c>
    </row>
    <row r="18" spans="1:21" ht="20.25" customHeight="1">
      <c r="A18" s="350"/>
      <c r="B18" s="133">
        <v>7</v>
      </c>
      <c r="C18" s="123">
        <v>2834</v>
      </c>
      <c r="D18" s="124" t="s">
        <v>394</v>
      </c>
      <c r="E18" s="133" t="s">
        <v>499</v>
      </c>
      <c r="F18" s="133" t="s">
        <v>499</v>
      </c>
      <c r="G18" s="134"/>
      <c r="H18" s="134">
        <v>3503615</v>
      </c>
      <c r="I18" s="126"/>
      <c r="J18" s="160">
        <v>9.4079999999999995</v>
      </c>
      <c r="K18" s="127">
        <f t="shared" si="0"/>
        <v>0</v>
      </c>
      <c r="L18" s="200">
        <f t="shared" si="0"/>
        <v>32962009.919999998</v>
      </c>
      <c r="M18" s="196">
        <f t="shared" si="4"/>
        <v>33.984964148745242</v>
      </c>
      <c r="N18" s="166">
        <v>15.05</v>
      </c>
      <c r="O18" s="170">
        <f t="shared" si="1"/>
        <v>52729406</v>
      </c>
      <c r="P18" s="191">
        <f t="shared" si="2"/>
        <v>19767396.080000002</v>
      </c>
      <c r="Q18" s="192">
        <f t="shared" si="3"/>
        <v>31.993280930211625</v>
      </c>
      <c r="R18" s="215">
        <v>17677583</v>
      </c>
      <c r="S18" s="196">
        <f t="shared" si="5"/>
        <v>42.693852425669633</v>
      </c>
      <c r="T18" s="200">
        <f t="shared" si="6"/>
        <v>2089813.0800000019</v>
      </c>
      <c r="U18" s="196">
        <f t="shared" si="7"/>
        <v>10.253916434875936</v>
      </c>
    </row>
    <row r="19" spans="1:21" ht="20.25" customHeight="1">
      <c r="A19" s="350"/>
      <c r="B19" s="133">
        <v>8</v>
      </c>
      <c r="C19" s="135">
        <v>2884</v>
      </c>
      <c r="D19" s="124" t="s">
        <v>395</v>
      </c>
      <c r="E19" s="133" t="s">
        <v>500</v>
      </c>
      <c r="F19" s="133" t="s">
        <v>501</v>
      </c>
      <c r="G19" s="134"/>
      <c r="H19" s="134">
        <v>515629</v>
      </c>
      <c r="I19" s="126"/>
      <c r="J19" s="160">
        <v>23.53</v>
      </c>
      <c r="K19" s="127"/>
      <c r="L19" s="200">
        <f>J19*H19</f>
        <v>12132750.370000001</v>
      </c>
      <c r="M19" s="196">
        <f t="shared" si="4"/>
        <v>12.50928227225428</v>
      </c>
      <c r="N19" s="166">
        <v>25.7</v>
      </c>
      <c r="O19" s="170">
        <f t="shared" si="1"/>
        <v>13251665</v>
      </c>
      <c r="P19" s="191">
        <f t="shared" si="2"/>
        <v>1118914.629999999</v>
      </c>
      <c r="Q19" s="192">
        <f t="shared" si="3"/>
        <v>1.8109491988544077</v>
      </c>
      <c r="R19" s="215">
        <v>956879</v>
      </c>
      <c r="S19" s="196">
        <f t="shared" si="5"/>
        <v>2.3109975393820714</v>
      </c>
      <c r="T19" s="200">
        <f t="shared" si="6"/>
        <v>162035.62999999896</v>
      </c>
      <c r="U19" s="196">
        <f t="shared" si="7"/>
        <v>0.79504709076299962</v>
      </c>
    </row>
    <row r="20" spans="1:21" ht="20.25" customHeight="1">
      <c r="A20" s="350"/>
      <c r="B20" s="133">
        <v>9</v>
      </c>
      <c r="C20" s="123">
        <v>2887</v>
      </c>
      <c r="D20" s="124" t="s">
        <v>396</v>
      </c>
      <c r="E20" s="133" t="s">
        <v>502</v>
      </c>
      <c r="F20" s="133" t="s">
        <v>503</v>
      </c>
      <c r="G20" s="134"/>
      <c r="H20" s="134">
        <v>884449</v>
      </c>
      <c r="I20" s="126"/>
      <c r="J20" s="160">
        <v>13.222</v>
      </c>
      <c r="K20" s="127">
        <f t="shared" si="0"/>
        <v>0</v>
      </c>
      <c r="L20" s="200">
        <f t="shared" si="0"/>
        <v>11694184.677999999</v>
      </c>
      <c r="M20" s="196">
        <f t="shared" si="4"/>
        <v>12.057105983379182</v>
      </c>
      <c r="N20" s="166">
        <v>17.95</v>
      </c>
      <c r="O20" s="170">
        <f t="shared" ref="O20:O22" si="8">ROUND(N20*H20,0)</f>
        <v>15875860</v>
      </c>
      <c r="P20" s="191">
        <f t="shared" si="2"/>
        <v>4181675.3220000006</v>
      </c>
      <c r="Q20" s="192">
        <f t="shared" si="3"/>
        <v>6.7679887019129916</v>
      </c>
      <c r="R20" s="215">
        <v>2756583</v>
      </c>
      <c r="S20" s="196">
        <f t="shared" si="5"/>
        <v>6.6575361462655653</v>
      </c>
      <c r="T20" s="200">
        <f t="shared" si="6"/>
        <v>1425092.3220000006</v>
      </c>
      <c r="U20" s="196">
        <f t="shared" si="7"/>
        <v>6.9923849752970737</v>
      </c>
    </row>
    <row r="21" spans="1:21" ht="20.25" customHeight="1">
      <c r="A21" s="350"/>
      <c r="B21" s="133">
        <v>10</v>
      </c>
      <c r="C21" s="123">
        <v>5410</v>
      </c>
      <c r="D21" s="124" t="s">
        <v>397</v>
      </c>
      <c r="E21" s="133" t="s">
        <v>506</v>
      </c>
      <c r="F21" s="103" t="s">
        <v>507</v>
      </c>
      <c r="G21" s="134"/>
      <c r="H21" s="134">
        <v>145000</v>
      </c>
      <c r="I21" s="126"/>
      <c r="J21" s="160">
        <v>15.99</v>
      </c>
      <c r="K21" s="127">
        <f t="shared" si="0"/>
        <v>0</v>
      </c>
      <c r="L21" s="200">
        <f t="shared" si="0"/>
        <v>2318550</v>
      </c>
      <c r="M21" s="196">
        <f t="shared" si="4"/>
        <v>2.3905046694152956</v>
      </c>
      <c r="N21" s="166">
        <v>33.85</v>
      </c>
      <c r="O21" s="170">
        <f t="shared" si="8"/>
        <v>4908250</v>
      </c>
      <c r="P21" s="191">
        <f t="shared" si="2"/>
        <v>2589700</v>
      </c>
      <c r="Q21" s="192">
        <f t="shared" si="3"/>
        <v>4.1913967469289988</v>
      </c>
      <c r="R21" s="215">
        <v>1686751</v>
      </c>
      <c r="S21" s="196">
        <f t="shared" si="5"/>
        <v>4.0737412050533539</v>
      </c>
      <c r="T21" s="200">
        <f t="shared" si="6"/>
        <v>902949</v>
      </c>
      <c r="U21" s="196">
        <f t="shared" si="7"/>
        <v>4.430426663304635</v>
      </c>
    </row>
    <row r="22" spans="1:21" ht="20.25" customHeight="1">
      <c r="A22" s="350"/>
      <c r="B22" s="133">
        <v>11</v>
      </c>
      <c r="C22" s="135">
        <v>5864</v>
      </c>
      <c r="D22" s="124" t="s">
        <v>398</v>
      </c>
      <c r="E22" s="133" t="s">
        <v>504</v>
      </c>
      <c r="F22" s="103" t="s">
        <v>507</v>
      </c>
      <c r="G22" s="134"/>
      <c r="H22" s="134">
        <v>165000</v>
      </c>
      <c r="I22" s="126"/>
      <c r="J22" s="160">
        <v>24.288</v>
      </c>
      <c r="K22" s="127"/>
      <c r="L22" s="200">
        <f t="shared" si="0"/>
        <v>4007520</v>
      </c>
      <c r="M22" s="196">
        <f t="shared" si="4"/>
        <v>4.1318907389425226</v>
      </c>
      <c r="N22" s="166">
        <v>17.8</v>
      </c>
      <c r="O22" s="170">
        <f t="shared" si="8"/>
        <v>2937000</v>
      </c>
      <c r="P22" s="191">
        <f t="shared" si="2"/>
        <v>-1070520</v>
      </c>
      <c r="Q22" s="192">
        <f t="shared" si="3"/>
        <v>-1.7326231013331397</v>
      </c>
      <c r="R22" s="215">
        <v>-1086422</v>
      </c>
      <c r="S22" s="196">
        <f t="shared" si="5"/>
        <v>-2.6238621275318494</v>
      </c>
      <c r="T22" s="200">
        <f t="shared" si="6"/>
        <v>15902</v>
      </c>
      <c r="U22" s="196">
        <f t="shared" si="7"/>
        <v>7.8025054349548317E-2</v>
      </c>
    </row>
    <row r="23" spans="1:21" ht="20.25" customHeight="1">
      <c r="A23" s="350"/>
      <c r="B23" s="133">
        <v>12</v>
      </c>
      <c r="C23" s="146">
        <v>9933</v>
      </c>
      <c r="D23" s="147" t="s">
        <v>437</v>
      </c>
      <c r="E23" s="211" t="s">
        <v>505</v>
      </c>
      <c r="F23" s="119" t="s">
        <v>507</v>
      </c>
      <c r="G23" s="148"/>
      <c r="H23" s="148">
        <v>175000</v>
      </c>
      <c r="I23" s="149"/>
      <c r="J23" s="161">
        <v>21.297000000000001</v>
      </c>
      <c r="K23" s="150">
        <f>I23*G23</f>
        <v>0</v>
      </c>
      <c r="L23" s="207">
        <f>J23*H23</f>
        <v>3726975</v>
      </c>
      <c r="M23" s="196">
        <f t="shared" si="4"/>
        <v>3.8426392099778184</v>
      </c>
      <c r="N23" s="167">
        <v>45.3</v>
      </c>
      <c r="O23" s="171">
        <f t="shared" ref="O23" si="9">ROUND(N23*H23,0)</f>
        <v>7927500</v>
      </c>
      <c r="P23" s="191">
        <f t="shared" si="2"/>
        <v>4200525</v>
      </c>
      <c r="Q23" s="192">
        <f t="shared" si="3"/>
        <v>6.7984966677197871</v>
      </c>
      <c r="R23" s="216">
        <v>2735118</v>
      </c>
      <c r="S23" s="196">
        <f t="shared" si="5"/>
        <v>6.6056951484143891</v>
      </c>
      <c r="T23" s="200">
        <f t="shared" si="6"/>
        <v>1465407</v>
      </c>
      <c r="U23" s="196">
        <f t="shared" si="7"/>
        <v>7.1901937378448357</v>
      </c>
    </row>
    <row r="24" spans="1:21" ht="20.25" customHeight="1">
      <c r="A24" s="350"/>
      <c r="B24" s="133">
        <v>13</v>
      </c>
      <c r="C24" s="146"/>
      <c r="D24" s="147"/>
      <c r="E24" s="211"/>
      <c r="F24" s="119"/>
      <c r="G24" s="148"/>
      <c r="H24" s="148"/>
      <c r="I24" s="149"/>
      <c r="J24" s="161"/>
      <c r="K24" s="150"/>
      <c r="L24" s="207"/>
      <c r="M24" s="244"/>
      <c r="N24" s="167"/>
      <c r="O24" s="171"/>
      <c r="P24" s="245"/>
      <c r="Q24" s="246"/>
      <c r="R24" s="216"/>
      <c r="S24" s="244"/>
      <c r="T24" s="207"/>
      <c r="U24" s="244"/>
    </row>
    <row r="25" spans="1:21" ht="20.25" customHeight="1">
      <c r="A25" s="350"/>
      <c r="B25" s="133">
        <v>14</v>
      </c>
      <c r="C25" s="146"/>
      <c r="D25" s="147"/>
      <c r="E25" s="211"/>
      <c r="F25" s="119"/>
      <c r="G25" s="148"/>
      <c r="H25" s="148"/>
      <c r="I25" s="149"/>
      <c r="J25" s="161"/>
      <c r="K25" s="150"/>
      <c r="L25" s="207"/>
      <c r="M25" s="244"/>
      <c r="N25" s="167"/>
      <c r="O25" s="171"/>
      <c r="P25" s="245"/>
      <c r="Q25" s="246"/>
      <c r="R25" s="216"/>
      <c r="S25" s="244"/>
      <c r="T25" s="207"/>
      <c r="U25" s="244"/>
    </row>
    <row r="26" spans="1:21" ht="20.25" customHeight="1">
      <c r="A26" s="350"/>
      <c r="B26" s="133">
        <v>15</v>
      </c>
      <c r="C26" s="146"/>
      <c r="D26" s="147"/>
      <c r="E26" s="211"/>
      <c r="F26" s="119"/>
      <c r="G26" s="148"/>
      <c r="H26" s="148"/>
      <c r="I26" s="149"/>
      <c r="J26" s="161"/>
      <c r="K26" s="150"/>
      <c r="L26" s="207"/>
      <c r="M26" s="244"/>
      <c r="N26" s="167"/>
      <c r="O26" s="171"/>
      <c r="P26" s="245"/>
      <c r="Q26" s="246"/>
      <c r="R26" s="216"/>
      <c r="S26" s="244"/>
      <c r="T26" s="207"/>
      <c r="U26" s="244"/>
    </row>
    <row r="27" spans="1:21" ht="20.25" customHeight="1">
      <c r="A27" s="350"/>
      <c r="B27" s="133">
        <v>16</v>
      </c>
      <c r="C27" s="146"/>
      <c r="D27" s="147"/>
      <c r="E27" s="211"/>
      <c r="F27" s="119"/>
      <c r="G27" s="148"/>
      <c r="H27" s="148"/>
      <c r="I27" s="149"/>
      <c r="J27" s="161"/>
      <c r="K27" s="150"/>
      <c r="L27" s="207"/>
      <c r="M27" s="244"/>
      <c r="N27" s="167"/>
      <c r="O27" s="171"/>
      <c r="P27" s="245"/>
      <c r="Q27" s="246"/>
      <c r="R27" s="216"/>
      <c r="S27" s="244"/>
      <c r="T27" s="207"/>
      <c r="U27" s="244"/>
    </row>
    <row r="28" spans="1:21" ht="20.25" customHeight="1">
      <c r="A28" s="350"/>
      <c r="B28" s="133">
        <v>17</v>
      </c>
      <c r="C28" s="146"/>
      <c r="D28" s="147"/>
      <c r="E28" s="211"/>
      <c r="F28" s="119"/>
      <c r="G28" s="148"/>
      <c r="H28" s="148"/>
      <c r="I28" s="149"/>
      <c r="J28" s="161"/>
      <c r="K28" s="150"/>
      <c r="L28" s="207"/>
      <c r="M28" s="244"/>
      <c r="N28" s="167"/>
      <c r="O28" s="171"/>
      <c r="P28" s="245"/>
      <c r="Q28" s="246"/>
      <c r="R28" s="216"/>
      <c r="S28" s="244"/>
      <c r="T28" s="207"/>
      <c r="U28" s="244"/>
    </row>
    <row r="29" spans="1:21" ht="17.25" thickBot="1">
      <c r="A29" s="351"/>
      <c r="B29" s="151">
        <v>18</v>
      </c>
      <c r="C29" s="152"/>
      <c r="D29" s="153"/>
      <c r="E29" s="154"/>
      <c r="F29" s="154"/>
      <c r="G29" s="155"/>
      <c r="H29" s="155"/>
      <c r="I29" s="156"/>
      <c r="J29" s="157"/>
      <c r="K29" s="158"/>
      <c r="L29" s="201"/>
      <c r="M29" s="202"/>
      <c r="N29" s="159"/>
      <c r="O29" s="172"/>
      <c r="P29" s="266"/>
      <c r="Q29" s="267"/>
      <c r="R29" s="268"/>
      <c r="S29" s="269"/>
      <c r="T29" s="207"/>
      <c r="U29" s="270"/>
    </row>
    <row r="30" spans="1:21" ht="14.1" customHeight="1">
      <c r="A30" s="334" t="s">
        <v>510</v>
      </c>
      <c r="B30" s="335"/>
      <c r="C30" s="335"/>
      <c r="D30" s="335"/>
      <c r="E30" s="336"/>
      <c r="F30" s="354">
        <f>O30+T32</f>
        <v>171792474.03200001</v>
      </c>
      <c r="G30" s="355">
        <f t="shared" ref="G30:H31" si="10">B20+G22</f>
        <v>9</v>
      </c>
      <c r="H30" s="356">
        <f t="shared" si="10"/>
        <v>167887</v>
      </c>
      <c r="I30" s="219"/>
      <c r="J30" s="366" t="s">
        <v>508</v>
      </c>
      <c r="K30" s="139"/>
      <c r="L30" s="405">
        <f>SUM(L12:L29)</f>
        <v>96989979.96800001</v>
      </c>
      <c r="M30" s="271"/>
      <c r="N30" s="410" t="s">
        <v>517</v>
      </c>
      <c r="O30" s="398">
        <f>SUM(O12:O29)</f>
        <v>151411841</v>
      </c>
      <c r="P30" s="407">
        <f>O30-L30</f>
        <v>54421861.03199999</v>
      </c>
      <c r="Q30" s="408">
        <f>SUM(Q12:Q29)</f>
        <v>88.081094833898462</v>
      </c>
      <c r="R30" s="374">
        <f>SUM(R12:R29)</f>
        <v>41405453</v>
      </c>
      <c r="S30" s="403">
        <f>SUM(S12:S23)</f>
        <v>100</v>
      </c>
      <c r="T30" s="381">
        <f>SUM(T12:T29)</f>
        <v>13016408.032000002</v>
      </c>
      <c r="U30" s="379">
        <f>SUM(U12:U29)</f>
        <v>63.866554152477512</v>
      </c>
    </row>
    <row r="31" spans="1:21" ht="14.1" customHeight="1" thickBot="1">
      <c r="A31" s="337"/>
      <c r="B31" s="338"/>
      <c r="C31" s="338"/>
      <c r="D31" s="338"/>
      <c r="E31" s="339"/>
      <c r="F31" s="357" t="e">
        <f>#REF!+F23</f>
        <v>#REF!</v>
      </c>
      <c r="G31" s="358">
        <f t="shared" si="10"/>
        <v>10</v>
      </c>
      <c r="H31" s="359">
        <f t="shared" si="10"/>
        <v>180410</v>
      </c>
      <c r="I31" s="219"/>
      <c r="J31" s="367"/>
      <c r="K31" s="139"/>
      <c r="L31" s="406"/>
      <c r="M31" s="272"/>
      <c r="N31" s="411"/>
      <c r="O31" s="399"/>
      <c r="P31" s="385"/>
      <c r="Q31" s="409"/>
      <c r="R31" s="375"/>
      <c r="S31" s="404"/>
      <c r="T31" s="382"/>
      <c r="U31" s="380"/>
    </row>
    <row r="32" spans="1:21" ht="13.7" customHeight="1">
      <c r="A32" s="340" t="s">
        <v>511</v>
      </c>
      <c r="B32" s="341"/>
      <c r="C32" s="341"/>
      <c r="D32" s="341"/>
      <c r="E32" s="342"/>
      <c r="F32" s="360">
        <f>T35/L30</f>
        <v>1.7712394011080284</v>
      </c>
      <c r="G32" s="361"/>
      <c r="H32" s="362"/>
      <c r="I32" s="220"/>
      <c r="J32" s="352" t="s">
        <v>509</v>
      </c>
      <c r="K32" s="7"/>
      <c r="L32" s="247"/>
      <c r="M32" s="273"/>
      <c r="N32" s="412" t="s">
        <v>518</v>
      </c>
      <c r="O32" s="414">
        <v>150815890</v>
      </c>
      <c r="P32" s="384">
        <f>P30+P11</f>
        <v>61786086.03199999</v>
      </c>
      <c r="Q32" s="386">
        <f>Q30+Q11</f>
        <v>100.00000000000001</v>
      </c>
      <c r="R32" s="370">
        <f>R30</f>
        <v>41405453</v>
      </c>
      <c r="S32" s="280" t="s">
        <v>491</v>
      </c>
      <c r="T32" s="372">
        <f>T30+T11</f>
        <v>20380633.032000002</v>
      </c>
      <c r="U32" s="281" t="s">
        <v>492</v>
      </c>
    </row>
    <row r="33" spans="1:21" ht="15.75" customHeight="1" thickBot="1">
      <c r="A33" s="343"/>
      <c r="B33" s="344"/>
      <c r="C33" s="344"/>
      <c r="D33" s="344"/>
      <c r="E33" s="345"/>
      <c r="F33" s="363"/>
      <c r="G33" s="364"/>
      <c r="H33" s="365"/>
      <c r="I33" s="220"/>
      <c r="J33" s="353"/>
      <c r="K33" s="7"/>
      <c r="L33" s="248"/>
      <c r="M33" s="274"/>
      <c r="N33" s="413"/>
      <c r="O33" s="415"/>
      <c r="P33" s="385"/>
      <c r="Q33" s="387"/>
      <c r="R33" s="371"/>
      <c r="S33" s="282">
        <f>R32/P32*100</f>
        <v>67.014202807012992</v>
      </c>
      <c r="T33" s="373"/>
      <c r="U33" s="283">
        <f>T32/P32*100</f>
        <v>32.985797192987029</v>
      </c>
    </row>
    <row r="34" spans="1:21" hidden="1">
      <c r="B34" s="7"/>
      <c r="C34" s="7"/>
      <c r="D34" s="140"/>
      <c r="E34" s="7"/>
      <c r="F34" s="7"/>
      <c r="G34" s="7"/>
      <c r="H34" s="7"/>
      <c r="I34" s="7"/>
      <c r="J34" s="7"/>
      <c r="K34" s="7"/>
      <c r="L34" s="141"/>
      <c r="M34" s="141"/>
      <c r="N34" s="275"/>
      <c r="O34" s="276"/>
      <c r="P34" s="277"/>
      <c r="Q34" s="274"/>
      <c r="R34" s="186"/>
      <c r="S34" s="187"/>
      <c r="T34" s="278"/>
      <c r="U34" s="279"/>
    </row>
    <row r="35" spans="1:21" hidden="1">
      <c r="B35" s="7"/>
      <c r="C35" s="7"/>
      <c r="D35" s="140"/>
      <c r="E35" s="7"/>
      <c r="F35" s="7"/>
      <c r="G35" s="7"/>
      <c r="H35" s="7"/>
      <c r="I35" s="7"/>
      <c r="J35" s="7"/>
      <c r="K35" s="7"/>
      <c r="L35" s="141"/>
      <c r="M35" s="141"/>
      <c r="N35" s="142"/>
      <c r="O35" s="173"/>
      <c r="P35" s="400" t="s">
        <v>489</v>
      </c>
      <c r="Q35" s="401"/>
      <c r="R35" s="401"/>
      <c r="S35" s="402"/>
      <c r="T35" s="221">
        <f>O30+T32</f>
        <v>171792474.03200001</v>
      </c>
      <c r="U35" s="141"/>
    </row>
    <row r="36" spans="1:21" hidden="1">
      <c r="B36" s="7"/>
      <c r="C36" s="7"/>
      <c r="D36" s="140"/>
      <c r="E36" s="7"/>
      <c r="F36" s="7"/>
      <c r="G36" s="7"/>
      <c r="H36" s="7"/>
      <c r="I36" s="7"/>
      <c r="J36" s="7"/>
      <c r="K36" s="7"/>
      <c r="L36" s="141"/>
      <c r="M36" s="141"/>
      <c r="N36" s="142"/>
      <c r="O36" s="173"/>
      <c r="P36" s="400" t="s">
        <v>490</v>
      </c>
      <c r="Q36" s="401"/>
      <c r="R36" s="401"/>
      <c r="S36" s="402"/>
      <c r="T36" s="222">
        <f>T35/L30</f>
        <v>1.7712394011080284</v>
      </c>
      <c r="U36" s="141"/>
    </row>
    <row r="37" spans="1:21" ht="23.25" customHeight="1">
      <c r="A37" s="143" t="s">
        <v>516</v>
      </c>
      <c r="D37" s="174"/>
      <c r="L37" s="175"/>
      <c r="M37" s="175"/>
      <c r="N37" s="176"/>
      <c r="O37" s="175"/>
      <c r="P37" s="177"/>
      <c r="Q37" s="177"/>
      <c r="R37" s="178"/>
      <c r="S37" s="178"/>
      <c r="T37" s="145" t="s">
        <v>399</v>
      </c>
      <c r="U37" s="175"/>
    </row>
    <row r="38" spans="1:21">
      <c r="C38" s="144"/>
    </row>
    <row r="39" spans="1:21">
      <c r="A39" s="143"/>
      <c r="C39" s="144"/>
      <c r="U39" s="145"/>
    </row>
    <row r="41" spans="1:21">
      <c r="B41" s="143"/>
    </row>
    <row r="42" spans="1:21" hidden="1"/>
    <row r="43" spans="1:21" hidden="1">
      <c r="B43" s="143" t="s">
        <v>487</v>
      </c>
    </row>
    <row r="44" spans="1:21" hidden="1">
      <c r="B44" s="143" t="s">
        <v>488</v>
      </c>
    </row>
  </sheetData>
  <mergeCells count="36">
    <mergeCell ref="O30:O31"/>
    <mergeCell ref="P35:S35"/>
    <mergeCell ref="P36:S36"/>
    <mergeCell ref="S30:S31"/>
    <mergeCell ref="L30:L31"/>
    <mergeCell ref="P30:P31"/>
    <mergeCell ref="Q30:Q31"/>
    <mergeCell ref="N30:N31"/>
    <mergeCell ref="N32:N33"/>
    <mergeCell ref="O32:O33"/>
    <mergeCell ref="B5:C5"/>
    <mergeCell ref="E3:F3"/>
    <mergeCell ref="E4:F4"/>
    <mergeCell ref="L3:M3"/>
    <mergeCell ref="P3:Q3"/>
    <mergeCell ref="H5:I5"/>
    <mergeCell ref="J5:K5"/>
    <mergeCell ref="H4:O4"/>
    <mergeCell ref="T3:U3"/>
    <mergeCell ref="R32:R33"/>
    <mergeCell ref="T32:T33"/>
    <mergeCell ref="R30:R31"/>
    <mergeCell ref="P4:U4"/>
    <mergeCell ref="U30:U31"/>
    <mergeCell ref="T30:T31"/>
    <mergeCell ref="R3:S3"/>
    <mergeCell ref="P32:P33"/>
    <mergeCell ref="Q32:Q33"/>
    <mergeCell ref="A30:E31"/>
    <mergeCell ref="A32:E33"/>
    <mergeCell ref="A6:A11"/>
    <mergeCell ref="A12:A29"/>
    <mergeCell ref="J32:J33"/>
    <mergeCell ref="F30:H31"/>
    <mergeCell ref="F32:H33"/>
    <mergeCell ref="J30:J31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7"/>
  <sheetViews>
    <sheetView topLeftCell="B10" zoomScaleNormal="100" workbookViewId="0">
      <selection activeCell="H62" sqref="H62"/>
    </sheetView>
  </sheetViews>
  <sheetFormatPr defaultRowHeight="16.5"/>
  <cols>
    <col min="1" max="1" width="4.5" style="28" customWidth="1"/>
    <col min="2" max="2" width="8" customWidth="1"/>
    <col min="3" max="3" width="11.875" customWidth="1"/>
    <col min="4" max="6" width="11.75" customWidth="1"/>
    <col min="7" max="7" width="12.5" customWidth="1"/>
    <col min="8" max="8" width="12.25" customWidth="1"/>
    <col min="9" max="9" width="11.375" customWidth="1"/>
    <col min="10" max="10" width="11.75" customWidth="1"/>
    <col min="11" max="11" width="11.625" customWidth="1"/>
    <col min="12" max="12" width="11.375" customWidth="1"/>
  </cols>
  <sheetData>
    <row r="1" spans="1:12">
      <c r="A1" s="438" t="s">
        <v>33</v>
      </c>
      <c r="B1" s="439"/>
      <c r="C1" s="1" t="s">
        <v>41</v>
      </c>
      <c r="D1" s="1" t="s">
        <v>42</v>
      </c>
      <c r="E1" s="1" t="s">
        <v>43</v>
      </c>
      <c r="F1" s="2" t="s">
        <v>44</v>
      </c>
      <c r="G1" s="1" t="s">
        <v>45</v>
      </c>
      <c r="H1" s="1" t="s">
        <v>46</v>
      </c>
      <c r="I1" s="1" t="s">
        <v>37</v>
      </c>
      <c r="J1" s="1" t="s">
        <v>38</v>
      </c>
      <c r="K1" s="1" t="s">
        <v>39</v>
      </c>
      <c r="L1" s="1" t="s">
        <v>63</v>
      </c>
    </row>
    <row r="2" spans="1:12">
      <c r="A2" s="3" t="s">
        <v>0</v>
      </c>
      <c r="B2" s="4" t="s">
        <v>1</v>
      </c>
      <c r="C2" s="5" t="s">
        <v>2</v>
      </c>
      <c r="D2" s="1" t="s">
        <v>2</v>
      </c>
      <c r="E2" s="1" t="s">
        <v>2</v>
      </c>
      <c r="F2" s="2" t="s">
        <v>2</v>
      </c>
      <c r="G2" s="1" t="s">
        <v>40</v>
      </c>
      <c r="H2" s="2" t="s">
        <v>40</v>
      </c>
      <c r="I2" s="1" t="s">
        <v>2</v>
      </c>
      <c r="J2" s="1" t="s">
        <v>40</v>
      </c>
      <c r="K2" s="2" t="s">
        <v>40</v>
      </c>
      <c r="L2" s="1" t="s">
        <v>40</v>
      </c>
    </row>
    <row r="3" spans="1:12">
      <c r="A3" s="6" t="s">
        <v>3</v>
      </c>
      <c r="B3" s="7" t="s">
        <v>4</v>
      </c>
      <c r="C3" s="8" t="s">
        <v>53</v>
      </c>
      <c r="D3" s="8" t="s">
        <v>53</v>
      </c>
      <c r="E3" s="8" t="s">
        <v>54</v>
      </c>
      <c r="F3" s="9" t="s">
        <v>54</v>
      </c>
      <c r="G3" s="8" t="s">
        <v>52</v>
      </c>
      <c r="H3" s="8" t="s">
        <v>52</v>
      </c>
      <c r="I3" s="8" t="s">
        <v>56</v>
      </c>
      <c r="J3" s="8" t="s">
        <v>61</v>
      </c>
      <c r="K3" s="8" t="s">
        <v>61</v>
      </c>
      <c r="L3" s="8" t="s">
        <v>61</v>
      </c>
    </row>
    <row r="4" spans="1:12">
      <c r="A4" s="6" t="s">
        <v>5</v>
      </c>
      <c r="B4" s="7" t="s">
        <v>6</v>
      </c>
      <c r="C4" s="29">
        <v>21.05</v>
      </c>
      <c r="D4" s="6">
        <v>21.05</v>
      </c>
      <c r="E4" s="29">
        <v>21</v>
      </c>
      <c r="F4" s="29">
        <v>20.95</v>
      </c>
      <c r="G4" s="30">
        <v>20.95</v>
      </c>
      <c r="H4" s="6">
        <v>20.9</v>
      </c>
      <c r="I4" s="6">
        <v>20.55</v>
      </c>
      <c r="J4" s="6">
        <v>20</v>
      </c>
      <c r="K4" s="6">
        <v>19.850000000000001</v>
      </c>
      <c r="L4" s="6">
        <v>19.600000000000001</v>
      </c>
    </row>
    <row r="5" spans="1:12" ht="17.25" thickBot="1">
      <c r="A5" s="72" t="s">
        <v>7</v>
      </c>
      <c r="B5" s="73" t="s">
        <v>8</v>
      </c>
      <c r="C5" s="84">
        <v>25</v>
      </c>
      <c r="D5" s="84">
        <v>25</v>
      </c>
      <c r="E5" s="84">
        <v>50</v>
      </c>
      <c r="F5" s="85">
        <v>38</v>
      </c>
      <c r="G5" s="72">
        <v>20</v>
      </c>
      <c r="H5" s="72">
        <v>50</v>
      </c>
      <c r="I5" s="72">
        <v>20</v>
      </c>
      <c r="J5" s="72">
        <v>5</v>
      </c>
      <c r="K5" s="72">
        <v>5</v>
      </c>
      <c r="L5" s="72">
        <v>5</v>
      </c>
    </row>
    <row r="6" spans="1:12">
      <c r="A6" s="78" t="s">
        <v>9</v>
      </c>
      <c r="B6" s="79" t="s">
        <v>10</v>
      </c>
      <c r="C6" s="80">
        <f>ROUNDDOWN(+C4*1000*C5,0)</f>
        <v>526250</v>
      </c>
      <c r="D6" s="80">
        <f t="shared" ref="D6:L6" si="0">ROUNDDOWN(+D4*1000*D5,0)</f>
        <v>526250</v>
      </c>
      <c r="E6" s="80">
        <f t="shared" si="0"/>
        <v>1050000</v>
      </c>
      <c r="F6" s="80">
        <f t="shared" si="0"/>
        <v>796100</v>
      </c>
      <c r="G6" s="80">
        <f t="shared" si="0"/>
        <v>419000</v>
      </c>
      <c r="H6" s="80">
        <f t="shared" si="0"/>
        <v>1045000</v>
      </c>
      <c r="I6" s="80">
        <f t="shared" si="0"/>
        <v>411000</v>
      </c>
      <c r="J6" s="80">
        <f t="shared" si="0"/>
        <v>100000</v>
      </c>
      <c r="K6" s="80">
        <f t="shared" si="0"/>
        <v>99250</v>
      </c>
      <c r="L6" s="80">
        <f t="shared" si="0"/>
        <v>98000</v>
      </c>
    </row>
    <row r="7" spans="1:12">
      <c r="A7" s="32" t="s">
        <v>11</v>
      </c>
      <c r="B7" s="61" t="s">
        <v>12</v>
      </c>
      <c r="C7" s="33">
        <f>ROUNDDOWN(+C6*0.001425*0.45,0)</f>
        <v>337</v>
      </c>
      <c r="D7" s="33">
        <f t="shared" ref="D7:L7" si="1">ROUNDDOWN(+D6*0.001425*0.45,0)</f>
        <v>337</v>
      </c>
      <c r="E7" s="33">
        <f t="shared" si="1"/>
        <v>673</v>
      </c>
      <c r="F7" s="33">
        <f t="shared" si="1"/>
        <v>510</v>
      </c>
      <c r="G7" s="33">
        <f t="shared" si="1"/>
        <v>268</v>
      </c>
      <c r="H7" s="33">
        <f t="shared" si="1"/>
        <v>670</v>
      </c>
      <c r="I7" s="33">
        <f t="shared" si="1"/>
        <v>263</v>
      </c>
      <c r="J7" s="33">
        <f t="shared" si="1"/>
        <v>64</v>
      </c>
      <c r="K7" s="33">
        <f t="shared" si="1"/>
        <v>63</v>
      </c>
      <c r="L7" s="33">
        <f t="shared" si="1"/>
        <v>62</v>
      </c>
    </row>
    <row r="8" spans="1:12">
      <c r="A8" s="32" t="s">
        <v>13</v>
      </c>
      <c r="B8" s="61" t="s">
        <v>14</v>
      </c>
      <c r="C8" s="33"/>
      <c r="D8" s="31"/>
      <c r="E8" s="31"/>
      <c r="F8" s="31"/>
      <c r="G8" s="31"/>
      <c r="H8" s="31"/>
      <c r="I8" s="31"/>
      <c r="J8" s="31"/>
      <c r="K8" s="32"/>
      <c r="L8" s="32"/>
    </row>
    <row r="9" spans="1:12">
      <c r="A9" s="32" t="s">
        <v>15</v>
      </c>
      <c r="B9" s="62" t="s">
        <v>16</v>
      </c>
      <c r="C9" s="33"/>
      <c r="D9" s="31"/>
      <c r="E9" s="31"/>
      <c r="F9" s="31"/>
      <c r="G9" s="31"/>
      <c r="H9" s="31"/>
      <c r="I9" s="31"/>
      <c r="J9" s="31"/>
      <c r="K9" s="32"/>
      <c r="L9" s="32"/>
    </row>
    <row r="10" spans="1:12" ht="17.25" thickBot="1">
      <c r="A10" s="81" t="s">
        <v>17</v>
      </c>
      <c r="B10" s="82" t="s">
        <v>18</v>
      </c>
      <c r="C10" s="83">
        <f>+C6+C7</f>
        <v>526587</v>
      </c>
      <c r="D10" s="83">
        <f t="shared" ref="D10:L10" si="2">+D6+D7</f>
        <v>526587</v>
      </c>
      <c r="E10" s="83">
        <f t="shared" si="2"/>
        <v>1050673</v>
      </c>
      <c r="F10" s="83">
        <f t="shared" si="2"/>
        <v>796610</v>
      </c>
      <c r="G10" s="83">
        <f t="shared" si="2"/>
        <v>419268</v>
      </c>
      <c r="H10" s="83">
        <f t="shared" si="2"/>
        <v>1045670</v>
      </c>
      <c r="I10" s="83">
        <f t="shared" si="2"/>
        <v>411263</v>
      </c>
      <c r="J10" s="83">
        <f t="shared" si="2"/>
        <v>100064</v>
      </c>
      <c r="K10" s="83">
        <f t="shared" si="2"/>
        <v>99313</v>
      </c>
      <c r="L10" s="83">
        <f t="shared" si="2"/>
        <v>98062</v>
      </c>
    </row>
    <row r="11" spans="1:12">
      <c r="A11" s="98" t="s">
        <v>19</v>
      </c>
      <c r="B11" s="99" t="s">
        <v>20</v>
      </c>
      <c r="C11" s="86">
        <f>+C10</f>
        <v>526587</v>
      </c>
      <c r="D11" s="86">
        <f>+C11+D10</f>
        <v>1053174</v>
      </c>
      <c r="E11" s="86">
        <f t="shared" ref="E11:L11" si="3">+D11+E10</f>
        <v>2103847</v>
      </c>
      <c r="F11" s="86">
        <f>+E11+F10</f>
        <v>2900457</v>
      </c>
      <c r="G11" s="86">
        <f t="shared" si="3"/>
        <v>3319725</v>
      </c>
      <c r="H11" s="86">
        <f t="shared" si="3"/>
        <v>4365395</v>
      </c>
      <c r="I11" s="86">
        <f t="shared" si="3"/>
        <v>4776658</v>
      </c>
      <c r="J11" s="86">
        <f t="shared" si="3"/>
        <v>4876722</v>
      </c>
      <c r="K11" s="86">
        <f t="shared" si="3"/>
        <v>4976035</v>
      </c>
      <c r="L11" s="86">
        <f t="shared" si="3"/>
        <v>5074097</v>
      </c>
    </row>
    <row r="12" spans="1:12">
      <c r="A12" s="6" t="s">
        <v>21</v>
      </c>
      <c r="B12" s="18" t="s">
        <v>22</v>
      </c>
      <c r="C12" s="19">
        <f>+C5</f>
        <v>25</v>
      </c>
      <c r="D12" s="19">
        <f>+C12+D5</f>
        <v>50</v>
      </c>
      <c r="E12" s="19">
        <f t="shared" ref="E12:L12" si="4">+D12+E5</f>
        <v>100</v>
      </c>
      <c r="F12" s="19">
        <f t="shared" si="4"/>
        <v>138</v>
      </c>
      <c r="G12" s="19">
        <f t="shared" si="4"/>
        <v>158</v>
      </c>
      <c r="H12" s="19">
        <f t="shared" si="4"/>
        <v>208</v>
      </c>
      <c r="I12" s="19">
        <f t="shared" si="4"/>
        <v>228</v>
      </c>
      <c r="J12" s="19">
        <f t="shared" si="4"/>
        <v>233</v>
      </c>
      <c r="K12" s="19">
        <f t="shared" si="4"/>
        <v>238</v>
      </c>
      <c r="L12" s="19">
        <f t="shared" si="4"/>
        <v>243</v>
      </c>
    </row>
    <row r="13" spans="1:12">
      <c r="A13" s="6" t="s">
        <v>23</v>
      </c>
      <c r="B13" s="7" t="s">
        <v>24</v>
      </c>
      <c r="C13" s="20">
        <f>+C11/C12/1000</f>
        <v>21.063479999999998</v>
      </c>
      <c r="D13" s="20">
        <f t="shared" ref="D13:L13" si="5">+D11/D12/1000</f>
        <v>21.063479999999998</v>
      </c>
      <c r="E13" s="20">
        <f t="shared" si="5"/>
        <v>21.03847</v>
      </c>
      <c r="F13" s="20">
        <f t="shared" si="5"/>
        <v>21.01780434782609</v>
      </c>
      <c r="G13" s="20">
        <f t="shared" si="5"/>
        <v>21.01091772151899</v>
      </c>
      <c r="H13" s="20">
        <f t="shared" si="5"/>
        <v>20.987475961538461</v>
      </c>
      <c r="I13" s="20">
        <f t="shared" si="5"/>
        <v>20.950254385964911</v>
      </c>
      <c r="J13" s="20">
        <f t="shared" si="5"/>
        <v>20.930137339055793</v>
      </c>
      <c r="K13" s="20">
        <f t="shared" si="5"/>
        <v>20.907710084033614</v>
      </c>
      <c r="L13" s="20">
        <f t="shared" si="5"/>
        <v>20.881057613168721</v>
      </c>
    </row>
    <row r="14" spans="1:12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22"/>
      <c r="K15" s="6"/>
      <c r="L15" s="6"/>
    </row>
    <row r="16" spans="1:12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23"/>
      <c r="K16" s="6"/>
      <c r="L16" s="6"/>
    </row>
    <row r="17" spans="1:12" ht="6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33</v>
      </c>
      <c r="B18" s="439"/>
      <c r="C18" s="1" t="s">
        <v>65</v>
      </c>
      <c r="D18" s="2" t="s">
        <v>66</v>
      </c>
      <c r="E18" s="1" t="s">
        <v>72</v>
      </c>
      <c r="F18" s="1" t="s">
        <v>75</v>
      </c>
      <c r="G18" s="1" t="s">
        <v>83</v>
      </c>
      <c r="H18" s="1" t="s">
        <v>84</v>
      </c>
      <c r="I18" s="1" t="s">
        <v>85</v>
      </c>
      <c r="J18" s="1" t="s">
        <v>86</v>
      </c>
      <c r="K18" s="1"/>
      <c r="L18" s="1"/>
    </row>
    <row r="19" spans="1:12">
      <c r="A19" s="3" t="s">
        <v>0</v>
      </c>
      <c r="B19" s="4" t="s">
        <v>1</v>
      </c>
      <c r="C19" s="5" t="s">
        <v>2</v>
      </c>
      <c r="D19" s="2" t="s">
        <v>2</v>
      </c>
      <c r="E19" s="1" t="s">
        <v>2</v>
      </c>
      <c r="F19" s="1" t="s">
        <v>2</v>
      </c>
      <c r="G19" s="1" t="s">
        <v>2</v>
      </c>
      <c r="H19" s="1" t="s">
        <v>2</v>
      </c>
      <c r="I19" s="1" t="s">
        <v>40</v>
      </c>
      <c r="J19" s="1" t="s">
        <v>40</v>
      </c>
      <c r="K19" s="1"/>
      <c r="L19" s="1"/>
    </row>
    <row r="20" spans="1:12">
      <c r="A20" s="6" t="s">
        <v>3</v>
      </c>
      <c r="B20" s="7" t="s">
        <v>4</v>
      </c>
      <c r="C20" s="8" t="s">
        <v>61</v>
      </c>
      <c r="D20" s="9" t="s">
        <v>68</v>
      </c>
      <c r="E20" s="8" t="s">
        <v>74</v>
      </c>
      <c r="F20" s="8" t="s">
        <v>77</v>
      </c>
      <c r="G20" s="8" t="s">
        <v>80</v>
      </c>
      <c r="H20" s="8" t="s">
        <v>80</v>
      </c>
      <c r="I20" s="8" t="s">
        <v>87</v>
      </c>
      <c r="J20" s="8" t="s">
        <v>87</v>
      </c>
      <c r="K20" s="8"/>
      <c r="L20" s="8"/>
    </row>
    <row r="21" spans="1:12">
      <c r="A21" s="6" t="s">
        <v>5</v>
      </c>
      <c r="B21" s="7" t="s">
        <v>6</v>
      </c>
      <c r="C21" s="29">
        <v>19.45</v>
      </c>
      <c r="D21" s="30">
        <v>19.25</v>
      </c>
      <c r="E21" s="6">
        <v>19.649999999999999</v>
      </c>
      <c r="F21" s="29">
        <v>19.350000000000001</v>
      </c>
      <c r="G21" s="6">
        <v>19.600000000000001</v>
      </c>
      <c r="H21" s="6">
        <v>19.55</v>
      </c>
      <c r="I21" s="6">
        <v>19.5</v>
      </c>
      <c r="J21" s="6">
        <v>19.45</v>
      </c>
      <c r="K21" s="6"/>
      <c r="L21" s="6"/>
    </row>
    <row r="22" spans="1:12" ht="17.25" thickBot="1">
      <c r="A22" s="72" t="s">
        <v>7</v>
      </c>
      <c r="B22" s="73" t="s">
        <v>8</v>
      </c>
      <c r="C22" s="74">
        <v>5</v>
      </c>
      <c r="D22" s="91">
        <v>2</v>
      </c>
      <c r="E22" s="72">
        <v>29</v>
      </c>
      <c r="F22" s="74">
        <v>5</v>
      </c>
      <c r="G22" s="72">
        <v>10</v>
      </c>
      <c r="H22" s="72">
        <v>10</v>
      </c>
      <c r="I22" s="72">
        <v>10</v>
      </c>
      <c r="J22" s="72">
        <v>10</v>
      </c>
      <c r="K22" s="72"/>
      <c r="L22" s="72"/>
    </row>
    <row r="23" spans="1:12">
      <c r="A23" s="78" t="s">
        <v>9</v>
      </c>
      <c r="B23" s="79" t="s">
        <v>10</v>
      </c>
      <c r="C23" s="80">
        <f>ROUNDDOWN(+C21*1000*C22,0)</f>
        <v>97250</v>
      </c>
      <c r="D23" s="80">
        <f t="shared" ref="D23:J23" si="6">ROUNDDOWN(+D21*1000*D22,0)</f>
        <v>38500</v>
      </c>
      <c r="E23" s="80">
        <f t="shared" si="6"/>
        <v>569850</v>
      </c>
      <c r="F23" s="80">
        <f t="shared" si="6"/>
        <v>96750</v>
      </c>
      <c r="G23" s="80">
        <f t="shared" si="6"/>
        <v>196000</v>
      </c>
      <c r="H23" s="80">
        <f t="shared" si="6"/>
        <v>195500</v>
      </c>
      <c r="I23" s="80">
        <f t="shared" si="6"/>
        <v>195000</v>
      </c>
      <c r="J23" s="80">
        <f t="shared" si="6"/>
        <v>194500</v>
      </c>
      <c r="K23" s="80"/>
      <c r="L23" s="80"/>
    </row>
    <row r="24" spans="1:12">
      <c r="A24" s="32" t="s">
        <v>11</v>
      </c>
      <c r="B24" s="61" t="s">
        <v>12</v>
      </c>
      <c r="C24" s="33">
        <f>ROUNDDOWN(+C23*0.001425*0.45,0)</f>
        <v>62</v>
      </c>
      <c r="D24" s="33">
        <f t="shared" ref="D24:J24" si="7">ROUNDDOWN(+D23*0.001425*0.45,0)</f>
        <v>24</v>
      </c>
      <c r="E24" s="33">
        <f t="shared" si="7"/>
        <v>365</v>
      </c>
      <c r="F24" s="33">
        <f t="shared" si="7"/>
        <v>62</v>
      </c>
      <c r="G24" s="33">
        <f t="shared" si="7"/>
        <v>125</v>
      </c>
      <c r="H24" s="33">
        <f t="shared" si="7"/>
        <v>125</v>
      </c>
      <c r="I24" s="33">
        <f t="shared" si="7"/>
        <v>125</v>
      </c>
      <c r="J24" s="33">
        <f t="shared" si="7"/>
        <v>124</v>
      </c>
      <c r="K24" s="32"/>
      <c r="L24" s="32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2"/>
      <c r="L25" s="32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2"/>
    </row>
    <row r="27" spans="1:12" ht="17.25" thickBot="1">
      <c r="A27" s="81" t="s">
        <v>17</v>
      </c>
      <c r="B27" s="82" t="s">
        <v>18</v>
      </c>
      <c r="C27" s="83">
        <f>+C23+C24</f>
        <v>97312</v>
      </c>
      <c r="D27" s="83">
        <f>+D23+D24</f>
        <v>38524</v>
      </c>
      <c r="E27" s="83">
        <f>+E23+E24</f>
        <v>570215</v>
      </c>
      <c r="F27" s="83">
        <f>+F23+F24</f>
        <v>96812</v>
      </c>
      <c r="G27" s="83">
        <f t="shared" ref="G27:J27" si="8">+G23+G24</f>
        <v>196125</v>
      </c>
      <c r="H27" s="83">
        <f t="shared" si="8"/>
        <v>195625</v>
      </c>
      <c r="I27" s="83">
        <f t="shared" si="8"/>
        <v>195125</v>
      </c>
      <c r="J27" s="83">
        <f t="shared" si="8"/>
        <v>194624</v>
      </c>
      <c r="K27" s="83"/>
      <c r="L27" s="83"/>
    </row>
    <row r="28" spans="1:12">
      <c r="A28" s="98" t="s">
        <v>19</v>
      </c>
      <c r="B28" s="99" t="s">
        <v>20</v>
      </c>
      <c r="C28" s="86">
        <f>+L11+C27</f>
        <v>5171409</v>
      </c>
      <c r="D28" s="87">
        <f>+C28+D27</f>
        <v>5209933</v>
      </c>
      <c r="E28" s="87">
        <f>+D28+E27</f>
        <v>5780148</v>
      </c>
      <c r="F28" s="87">
        <f>+E28+F27</f>
        <v>5876960</v>
      </c>
      <c r="G28" s="87">
        <f t="shared" ref="G28:J28" si="9">+F28+G27</f>
        <v>6073085</v>
      </c>
      <c r="H28" s="87">
        <f t="shared" si="9"/>
        <v>6268710</v>
      </c>
      <c r="I28" s="87">
        <f t="shared" si="9"/>
        <v>6463835</v>
      </c>
      <c r="J28" s="87">
        <f t="shared" si="9"/>
        <v>6658459</v>
      </c>
      <c r="K28" s="86"/>
      <c r="L28" s="77"/>
    </row>
    <row r="29" spans="1:12">
      <c r="A29" s="6" t="s">
        <v>21</v>
      </c>
      <c r="B29" s="18" t="s">
        <v>22</v>
      </c>
      <c r="C29" s="19">
        <f>+L12+C22</f>
        <v>248</v>
      </c>
      <c r="D29" s="26">
        <f>+C29+D22</f>
        <v>250</v>
      </c>
      <c r="E29" s="26">
        <f>+D29+E22</f>
        <v>279</v>
      </c>
      <c r="F29" s="26">
        <f>+E29+F22</f>
        <v>284</v>
      </c>
      <c r="G29" s="26">
        <f t="shared" ref="G29:J29" si="10">+F29+G22</f>
        <v>294</v>
      </c>
      <c r="H29" s="26">
        <f t="shared" si="10"/>
        <v>304</v>
      </c>
      <c r="I29" s="26">
        <f t="shared" si="10"/>
        <v>314</v>
      </c>
      <c r="J29" s="26">
        <f t="shared" si="10"/>
        <v>324</v>
      </c>
      <c r="K29" s="6"/>
      <c r="L29" s="6"/>
    </row>
    <row r="30" spans="1:12">
      <c r="A30" s="6" t="s">
        <v>23</v>
      </c>
      <c r="B30" s="7" t="s">
        <v>24</v>
      </c>
      <c r="C30" s="20">
        <f>+C28/C29/1000</f>
        <v>20.852455645161292</v>
      </c>
      <c r="D30" s="20">
        <f>+D28/D29/1000</f>
        <v>20.839732000000001</v>
      </c>
      <c r="E30" s="20">
        <f>+E28/E29/1000</f>
        <v>20.71737634408602</v>
      </c>
      <c r="F30" s="20">
        <f>+F28/F29/1000</f>
        <v>20.693521126760562</v>
      </c>
      <c r="G30" s="20">
        <f t="shared" ref="G30:J30" si="11">+G28/G29/1000</f>
        <v>20.656751700680275</v>
      </c>
      <c r="H30" s="20">
        <f t="shared" si="11"/>
        <v>20.620756578947372</v>
      </c>
      <c r="I30" s="20">
        <f t="shared" si="11"/>
        <v>20.585461783439492</v>
      </c>
      <c r="J30" s="20">
        <f t="shared" si="11"/>
        <v>20.55079938271605</v>
      </c>
      <c r="K30" s="2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23"/>
      <c r="K32" s="6"/>
      <c r="L32" s="6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6"/>
    </row>
    <row r="35" spans="1:12" ht="17.100000000000001" customHeight="1">
      <c r="A35" s="438" t="s">
        <v>33</v>
      </c>
      <c r="B35" s="439"/>
      <c r="C35" s="1" t="s">
        <v>121</v>
      </c>
      <c r="D35" s="1" t="s">
        <v>140</v>
      </c>
      <c r="E35" s="2" t="s">
        <v>141</v>
      </c>
      <c r="F35" s="1" t="s">
        <v>142</v>
      </c>
      <c r="G35" s="1" t="s">
        <v>136</v>
      </c>
      <c r="H35" s="1" t="s">
        <v>186</v>
      </c>
      <c r="I35" s="1" t="s">
        <v>298</v>
      </c>
      <c r="J35" s="1" t="s">
        <v>298</v>
      </c>
      <c r="K35" s="1" t="s">
        <v>298</v>
      </c>
      <c r="L35" s="1"/>
    </row>
    <row r="36" spans="1:12" ht="17.100000000000001" customHeight="1">
      <c r="A36" s="3" t="s">
        <v>0</v>
      </c>
      <c r="B36" s="4" t="s">
        <v>1</v>
      </c>
      <c r="C36" s="1" t="s">
        <v>40</v>
      </c>
      <c r="D36" s="1" t="s">
        <v>122</v>
      </c>
      <c r="E36" s="2" t="s">
        <v>125</v>
      </c>
      <c r="F36" s="1" t="s">
        <v>126</v>
      </c>
      <c r="G36" s="1" t="s">
        <v>127</v>
      </c>
      <c r="H36" s="1" t="s">
        <v>160</v>
      </c>
      <c r="I36" s="1" t="s">
        <v>299</v>
      </c>
      <c r="J36" s="2" t="s">
        <v>300</v>
      </c>
      <c r="K36" s="1" t="s">
        <v>301</v>
      </c>
      <c r="L36" s="1"/>
    </row>
    <row r="37" spans="1:12" ht="17.100000000000001" customHeight="1">
      <c r="A37" s="6" t="s">
        <v>3</v>
      </c>
      <c r="B37" s="7" t="s">
        <v>4</v>
      </c>
      <c r="C37" s="8" t="s">
        <v>87</v>
      </c>
      <c r="D37" s="8" t="s">
        <v>124</v>
      </c>
      <c r="E37" s="9" t="s">
        <v>124</v>
      </c>
      <c r="F37" s="8" t="s">
        <v>123</v>
      </c>
      <c r="G37" s="8" t="s">
        <v>138</v>
      </c>
      <c r="H37" s="114" t="s">
        <v>187</v>
      </c>
      <c r="I37" s="8" t="s">
        <v>302</v>
      </c>
      <c r="J37" s="8" t="s">
        <v>303</v>
      </c>
      <c r="K37" s="8" t="s">
        <v>305</v>
      </c>
      <c r="L37" s="8"/>
    </row>
    <row r="38" spans="1:12" ht="17.100000000000001" customHeight="1">
      <c r="A38" s="6" t="s">
        <v>5</v>
      </c>
      <c r="B38" s="7" t="s">
        <v>6</v>
      </c>
      <c r="C38" s="6">
        <v>19.45</v>
      </c>
      <c r="D38" s="29">
        <v>20.8</v>
      </c>
      <c r="E38" s="29">
        <v>20.75</v>
      </c>
      <c r="F38" s="30">
        <v>20.7</v>
      </c>
      <c r="G38" s="6">
        <v>-1.6211149600000001</v>
      </c>
      <c r="H38" s="6">
        <v>-1.3922898100000001</v>
      </c>
      <c r="I38" s="6">
        <v>-2.5082690799999998</v>
      </c>
      <c r="J38" s="6">
        <v>-2.5</v>
      </c>
      <c r="K38" s="6">
        <v>-2.5</v>
      </c>
      <c r="L38" s="6"/>
    </row>
    <row r="39" spans="1:12" ht="17.100000000000001" customHeight="1" thickBot="1">
      <c r="A39" s="72" t="s">
        <v>7</v>
      </c>
      <c r="B39" s="73" t="s">
        <v>8</v>
      </c>
      <c r="C39" s="74">
        <v>10</v>
      </c>
      <c r="D39" s="74">
        <v>26</v>
      </c>
      <c r="E39" s="91">
        <v>26</v>
      </c>
      <c r="F39" s="72">
        <v>24</v>
      </c>
      <c r="G39" s="72">
        <v>400</v>
      </c>
      <c r="H39" s="72">
        <v>400</v>
      </c>
      <c r="I39" s="72">
        <v>400</v>
      </c>
      <c r="J39" s="72">
        <v>400</v>
      </c>
      <c r="K39" s="72">
        <v>400</v>
      </c>
      <c r="L39" s="72"/>
    </row>
    <row r="40" spans="1:12" ht="17.100000000000001" customHeight="1">
      <c r="A40" s="78" t="s">
        <v>9</v>
      </c>
      <c r="B40" s="79" t="s">
        <v>10</v>
      </c>
      <c r="C40" s="80">
        <v>194500</v>
      </c>
      <c r="D40" s="80">
        <f>ROUNDDOWN(+D38*D39*1000,0)</f>
        <v>540800</v>
      </c>
      <c r="E40" s="80">
        <f t="shared" ref="E40:F40" si="12">ROUNDDOWN(+E38*E39*1000,0)</f>
        <v>539500</v>
      </c>
      <c r="F40" s="80">
        <f t="shared" si="12"/>
        <v>496800</v>
      </c>
      <c r="G40" s="80">
        <f>ROUNDDOWN(+G38*G39*1000,0)</f>
        <v>-648445</v>
      </c>
      <c r="H40" s="80">
        <f t="shared" ref="H40:K40" si="13">ROUNDDOWN(+H38*H39*1000,0)</f>
        <v>-556915</v>
      </c>
      <c r="I40" s="80">
        <f t="shared" si="13"/>
        <v>-1003307</v>
      </c>
      <c r="J40" s="80">
        <f t="shared" si="13"/>
        <v>-1000000</v>
      </c>
      <c r="K40" s="80">
        <f t="shared" si="13"/>
        <v>-1000000</v>
      </c>
      <c r="L40" s="80"/>
    </row>
    <row r="41" spans="1:12" ht="17.100000000000001" customHeight="1">
      <c r="A41" s="32" t="s">
        <v>11</v>
      </c>
      <c r="B41" s="61" t="s">
        <v>12</v>
      </c>
      <c r="C41" s="33">
        <v>124</v>
      </c>
      <c r="D41" s="33">
        <f>ROUNDDOWN(+D40*0.001425*0.45,0)</f>
        <v>346</v>
      </c>
      <c r="E41" s="33">
        <f t="shared" ref="E41:F41" si="14">ROUNDDOWN(+E40*0.001425*0.45,0)</f>
        <v>345</v>
      </c>
      <c r="F41" s="33">
        <f t="shared" si="14"/>
        <v>318</v>
      </c>
      <c r="G41" s="33">
        <v>10</v>
      </c>
      <c r="H41" s="33">
        <v>10</v>
      </c>
      <c r="I41" s="33">
        <v>10</v>
      </c>
      <c r="J41" s="33">
        <v>10</v>
      </c>
      <c r="K41" s="33">
        <v>10</v>
      </c>
      <c r="L41" s="33"/>
    </row>
    <row r="42" spans="1:12" ht="17.100000000000001" customHeight="1">
      <c r="A42" s="32" t="s">
        <v>13</v>
      </c>
      <c r="B42" s="61" t="s">
        <v>14</v>
      </c>
      <c r="C42" s="31"/>
      <c r="D42" s="31"/>
      <c r="E42" s="31"/>
      <c r="F42" s="31"/>
      <c r="G42" s="31"/>
      <c r="H42" s="31"/>
      <c r="I42" s="31"/>
      <c r="J42" s="32"/>
      <c r="K42" s="32"/>
      <c r="L42" s="32"/>
    </row>
    <row r="43" spans="1:12" ht="17.100000000000001" customHeight="1">
      <c r="A43" s="32" t="s">
        <v>15</v>
      </c>
      <c r="B43" s="62" t="s">
        <v>16</v>
      </c>
      <c r="C43" s="31"/>
      <c r="D43" s="31"/>
      <c r="E43" s="31"/>
      <c r="F43" s="31"/>
      <c r="G43" s="31"/>
      <c r="H43" s="31"/>
      <c r="I43" s="31"/>
      <c r="J43" s="32"/>
      <c r="K43" s="32"/>
      <c r="L43" s="32"/>
    </row>
    <row r="44" spans="1:12" ht="17.100000000000001" customHeight="1" thickBot="1">
      <c r="A44" s="81" t="s">
        <v>17</v>
      </c>
      <c r="B44" s="82" t="s">
        <v>18</v>
      </c>
      <c r="C44" s="83">
        <v>194624</v>
      </c>
      <c r="D44" s="83">
        <f>+D40+D41</f>
        <v>541146</v>
      </c>
      <c r="E44" s="83">
        <f t="shared" ref="E44:F44" si="15">+E40+E41</f>
        <v>539845</v>
      </c>
      <c r="F44" s="83">
        <f t="shared" si="15"/>
        <v>497118</v>
      </c>
      <c r="G44" s="83">
        <f>SUM(G40:G43)</f>
        <v>-648435</v>
      </c>
      <c r="H44" s="83">
        <f>SUM(H40:H43)</f>
        <v>-556905</v>
      </c>
      <c r="I44" s="83">
        <f>SUM(I40:I43)</f>
        <v>-1003297</v>
      </c>
      <c r="J44" s="83">
        <f t="shared" ref="J44:K44" si="16">SUM(J40:J43)</f>
        <v>-999990</v>
      </c>
      <c r="K44" s="83">
        <f t="shared" si="16"/>
        <v>-999990</v>
      </c>
      <c r="L44" s="83"/>
    </row>
    <row r="45" spans="1:12" s="113" customFormat="1" ht="17.100000000000001" customHeight="1">
      <c r="A45" s="98" t="s">
        <v>19</v>
      </c>
      <c r="B45" s="99" t="s">
        <v>20</v>
      </c>
      <c r="C45" s="86">
        <v>6658459</v>
      </c>
      <c r="D45" s="86">
        <f>+C45+D44</f>
        <v>7199605</v>
      </c>
      <c r="E45" s="86">
        <f t="shared" ref="E45:F45" si="17">+D45+E44</f>
        <v>7739450</v>
      </c>
      <c r="F45" s="86">
        <f t="shared" si="17"/>
        <v>8236568</v>
      </c>
      <c r="G45" s="86">
        <f>+F45+G44</f>
        <v>7588133</v>
      </c>
      <c r="H45" s="86">
        <f>G45+H44</f>
        <v>7031228</v>
      </c>
      <c r="I45" s="86">
        <f>H45+I44</f>
        <v>6027931</v>
      </c>
      <c r="J45" s="86">
        <f t="shared" ref="J45:K45" si="18">I45+J44</f>
        <v>5027941</v>
      </c>
      <c r="K45" s="86">
        <f t="shared" si="18"/>
        <v>4027951</v>
      </c>
      <c r="L45" s="86"/>
    </row>
    <row r="46" spans="1:12" ht="17.100000000000001" customHeight="1">
      <c r="A46" s="6" t="s">
        <v>21</v>
      </c>
      <c r="B46" s="18" t="s">
        <v>22</v>
      </c>
      <c r="C46" s="19">
        <v>324</v>
      </c>
      <c r="D46" s="19">
        <f>+C46+D39</f>
        <v>350</v>
      </c>
      <c r="E46" s="19">
        <f t="shared" ref="E46:F46" si="19">+D46+E39</f>
        <v>376</v>
      </c>
      <c r="F46" s="19">
        <f t="shared" si="19"/>
        <v>400</v>
      </c>
      <c r="G46" s="95">
        <v>400</v>
      </c>
      <c r="H46" s="95">
        <v>400</v>
      </c>
      <c r="I46" s="19">
        <v>400</v>
      </c>
      <c r="J46" s="19">
        <v>400</v>
      </c>
      <c r="K46" s="19">
        <v>400</v>
      </c>
      <c r="L46" s="19"/>
    </row>
    <row r="47" spans="1:12" ht="17.100000000000001" customHeight="1">
      <c r="A47" s="6" t="s">
        <v>23</v>
      </c>
      <c r="B47" s="7" t="s">
        <v>24</v>
      </c>
      <c r="C47" s="20">
        <f>+C45/C46/1000</f>
        <v>20.55079938271605</v>
      </c>
      <c r="D47" s="20">
        <f>+D45/D46/1000</f>
        <v>20.5703</v>
      </c>
      <c r="E47" s="20">
        <f t="shared" ref="E47:F47" si="20">+E45/E46/1000</f>
        <v>20.583643617021277</v>
      </c>
      <c r="F47" s="20">
        <f t="shared" si="20"/>
        <v>20.591419999999999</v>
      </c>
      <c r="G47" s="44">
        <f>+G45/G46/1000</f>
        <v>18.970332500000001</v>
      </c>
      <c r="H47" s="44">
        <f>H45/H46/1000</f>
        <v>17.57807</v>
      </c>
      <c r="I47" s="44">
        <f t="shared" ref="I47:K47" si="21">I45/I46/1000</f>
        <v>15.069827499999999</v>
      </c>
      <c r="J47" s="44">
        <f t="shared" si="21"/>
        <v>12.569852500000001</v>
      </c>
      <c r="K47" s="44">
        <f t="shared" si="21"/>
        <v>10.0698775</v>
      </c>
      <c r="L47" s="44"/>
    </row>
    <row r="48" spans="1:12" ht="17.100000000000001" customHeight="1">
      <c r="A48" s="6" t="s">
        <v>25</v>
      </c>
      <c r="B48" s="7" t="s">
        <v>26</v>
      </c>
      <c r="C48" s="6"/>
      <c r="D48" s="6"/>
      <c r="E48" s="21"/>
      <c r="F48" s="6" t="s">
        <v>137</v>
      </c>
      <c r="G48" s="6" t="s">
        <v>128</v>
      </c>
      <c r="H48" s="6" t="s">
        <v>185</v>
      </c>
      <c r="I48" s="6"/>
      <c r="J48" s="6"/>
      <c r="K48" s="6" t="s">
        <v>304</v>
      </c>
      <c r="L48" s="6"/>
    </row>
    <row r="49" spans="1:12" ht="17.100000000000001" customHeight="1">
      <c r="A49" s="6" t="s">
        <v>27</v>
      </c>
      <c r="B49" s="7" t="s">
        <v>28</v>
      </c>
      <c r="C49" s="6"/>
      <c r="D49" s="6"/>
      <c r="E49" s="11"/>
      <c r="F49" s="6"/>
      <c r="G49" s="6">
        <v>1.6211149600000001</v>
      </c>
      <c r="H49" s="6">
        <v>1.3922898100000001</v>
      </c>
      <c r="I49" s="100">
        <v>2.5082690799999998</v>
      </c>
      <c r="J49" s="6">
        <v>2.5</v>
      </c>
      <c r="K49" s="6">
        <v>2.5</v>
      </c>
      <c r="L49" s="6"/>
    </row>
    <row r="50" spans="1:12" ht="17.100000000000001" customHeight="1">
      <c r="A50" s="6" t="s">
        <v>29</v>
      </c>
      <c r="B50" s="7" t="s">
        <v>30</v>
      </c>
      <c r="C50" s="6"/>
      <c r="D50" s="6"/>
      <c r="E50" s="11"/>
      <c r="F50" s="6"/>
      <c r="G50" s="6">
        <v>0</v>
      </c>
      <c r="H50" s="6">
        <v>0</v>
      </c>
      <c r="I50" s="23"/>
      <c r="J50" s="6"/>
      <c r="K50" s="6"/>
      <c r="L50" s="6"/>
    </row>
    <row r="51" spans="1:12" ht="6.6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 ht="17.100000000000001" customHeight="1">
      <c r="A52" s="438" t="s">
        <v>33</v>
      </c>
      <c r="B52" s="439"/>
      <c r="C52" s="2" t="s">
        <v>306</v>
      </c>
      <c r="D52" s="1" t="s">
        <v>307</v>
      </c>
      <c r="E52" s="1" t="s">
        <v>308</v>
      </c>
      <c r="F52" s="1" t="s">
        <v>309</v>
      </c>
      <c r="G52" s="1" t="s">
        <v>420</v>
      </c>
      <c r="H52" s="1" t="s">
        <v>580</v>
      </c>
      <c r="I52" s="1"/>
      <c r="J52" s="1"/>
      <c r="K52" s="1"/>
      <c r="L52" s="1"/>
    </row>
    <row r="53" spans="1:12" ht="17.100000000000001" customHeight="1">
      <c r="A53" s="3" t="s">
        <v>0</v>
      </c>
      <c r="B53" s="4" t="s">
        <v>1</v>
      </c>
      <c r="C53" s="2" t="s">
        <v>301</v>
      </c>
      <c r="D53" s="1" t="s">
        <v>301</v>
      </c>
      <c r="E53" s="1" t="s">
        <v>301</v>
      </c>
      <c r="F53" s="1" t="s">
        <v>301</v>
      </c>
      <c r="G53" s="1" t="s">
        <v>196</v>
      </c>
      <c r="H53" s="1" t="s">
        <v>581</v>
      </c>
      <c r="I53" s="1"/>
      <c r="J53" s="1"/>
      <c r="K53" s="1"/>
      <c r="L53" s="1"/>
    </row>
    <row r="54" spans="1:12" ht="17.100000000000001" customHeight="1">
      <c r="A54" s="6" t="s">
        <v>3</v>
      </c>
      <c r="B54" s="7" t="s">
        <v>4</v>
      </c>
      <c r="C54" s="9" t="s">
        <v>310</v>
      </c>
      <c r="D54" s="8" t="s">
        <v>311</v>
      </c>
      <c r="E54" s="8" t="s">
        <v>311</v>
      </c>
      <c r="F54" s="8" t="s">
        <v>312</v>
      </c>
      <c r="G54" s="8" t="s">
        <v>421</v>
      </c>
      <c r="H54" s="8" t="s">
        <v>582</v>
      </c>
      <c r="I54" s="8"/>
      <c r="J54" s="8"/>
      <c r="K54" s="8"/>
      <c r="L54" s="8"/>
    </row>
    <row r="55" spans="1:12" ht="17.100000000000001" customHeight="1">
      <c r="A55" s="6" t="s">
        <v>5</v>
      </c>
      <c r="B55" s="7" t="s">
        <v>6</v>
      </c>
      <c r="C55" s="30">
        <v>30.5</v>
      </c>
      <c r="D55" s="6">
        <v>30.25</v>
      </c>
      <c r="E55" s="29">
        <v>30.1</v>
      </c>
      <c r="F55" s="6">
        <v>33.950000000000003</v>
      </c>
      <c r="G55" s="6">
        <v>-2</v>
      </c>
      <c r="H55" s="6">
        <v>-3</v>
      </c>
      <c r="I55" s="6"/>
      <c r="J55" s="6"/>
      <c r="K55" s="6"/>
      <c r="L55" s="6"/>
    </row>
    <row r="56" spans="1:12" ht="17.100000000000001" customHeight="1" thickBot="1">
      <c r="A56" s="72" t="s">
        <v>7</v>
      </c>
      <c r="B56" s="73" t="s">
        <v>8</v>
      </c>
      <c r="C56" s="91">
        <v>50</v>
      </c>
      <c r="D56" s="72">
        <v>20</v>
      </c>
      <c r="E56" s="74">
        <v>20</v>
      </c>
      <c r="F56" s="72">
        <v>10</v>
      </c>
      <c r="G56" s="72">
        <v>500</v>
      </c>
      <c r="H56" s="72">
        <v>400</v>
      </c>
      <c r="I56" s="72"/>
      <c r="J56" s="72"/>
      <c r="K56" s="72"/>
      <c r="L56" s="72"/>
    </row>
    <row r="57" spans="1:12" ht="17.100000000000001" customHeight="1">
      <c r="A57" s="78" t="s">
        <v>9</v>
      </c>
      <c r="B57" s="79" t="s">
        <v>10</v>
      </c>
      <c r="C57" s="80">
        <f>ROUNDDOWN(+C55*C56*1000,0)</f>
        <v>1525000</v>
      </c>
      <c r="D57" s="80">
        <f t="shared" ref="D57:F57" si="22">ROUNDDOWN(+D55*D56*1000,0)</f>
        <v>605000</v>
      </c>
      <c r="E57" s="80">
        <f t="shared" si="22"/>
        <v>602000</v>
      </c>
      <c r="F57" s="80">
        <f t="shared" si="22"/>
        <v>339500</v>
      </c>
      <c r="G57" s="80">
        <f t="shared" ref="G57" si="23">+G55*G56*1000</f>
        <v>-1000000</v>
      </c>
      <c r="H57" s="80">
        <f t="shared" ref="H57" si="24">+H55*H56*1000</f>
        <v>-1200000</v>
      </c>
      <c r="I57" s="80"/>
      <c r="J57" s="80"/>
      <c r="K57" s="80"/>
      <c r="L57" s="80"/>
    </row>
    <row r="58" spans="1:12" ht="17.100000000000001" customHeight="1">
      <c r="A58" s="32" t="s">
        <v>11</v>
      </c>
      <c r="B58" s="61" t="s">
        <v>12</v>
      </c>
      <c r="C58" s="33">
        <f>ROUNDDOWN(+C57*0.001425*0.45,0)</f>
        <v>977</v>
      </c>
      <c r="D58" s="33">
        <f t="shared" ref="D58:F58" si="25">ROUNDDOWN(+D57*0.001425*0.45,0)</f>
        <v>387</v>
      </c>
      <c r="E58" s="33">
        <f t="shared" si="25"/>
        <v>386</v>
      </c>
      <c r="F58" s="33">
        <f t="shared" si="25"/>
        <v>217</v>
      </c>
      <c r="G58" s="33"/>
      <c r="H58" s="33">
        <v>10</v>
      </c>
      <c r="I58" s="33"/>
      <c r="J58" s="32"/>
      <c r="K58" s="32"/>
      <c r="L58" s="32"/>
    </row>
    <row r="59" spans="1:12" ht="17.100000000000001" customHeight="1">
      <c r="A59" s="32" t="s">
        <v>13</v>
      </c>
      <c r="B59" s="61" t="s">
        <v>14</v>
      </c>
      <c r="C59" s="31"/>
      <c r="D59" s="31"/>
      <c r="E59" s="31"/>
      <c r="F59" s="31"/>
      <c r="G59" s="31"/>
      <c r="H59" s="31"/>
      <c r="I59" s="31"/>
      <c r="J59" s="32"/>
      <c r="K59" s="32"/>
      <c r="L59" s="32"/>
    </row>
    <row r="60" spans="1:12" ht="17.100000000000001" customHeight="1">
      <c r="A60" s="32" t="s">
        <v>15</v>
      </c>
      <c r="B60" s="62" t="s">
        <v>16</v>
      </c>
      <c r="C60" s="31"/>
      <c r="D60" s="31"/>
      <c r="E60" s="31"/>
      <c r="F60" s="31"/>
      <c r="G60" s="31"/>
      <c r="H60" s="31"/>
      <c r="I60" s="31"/>
      <c r="J60" s="31"/>
      <c r="K60" s="32"/>
      <c r="L60" s="32"/>
    </row>
    <row r="61" spans="1:12" ht="17.100000000000001" customHeight="1" thickBot="1">
      <c r="A61" s="81" t="s">
        <v>17</v>
      </c>
      <c r="B61" s="82" t="s">
        <v>18</v>
      </c>
      <c r="C61" s="83">
        <f t="shared" ref="C61:F61" si="26">+C57+C58</f>
        <v>1525977</v>
      </c>
      <c r="D61" s="83">
        <f t="shared" si="26"/>
        <v>605387</v>
      </c>
      <c r="E61" s="83">
        <f t="shared" si="26"/>
        <v>602386</v>
      </c>
      <c r="F61" s="83">
        <f t="shared" si="26"/>
        <v>339717</v>
      </c>
      <c r="G61" s="83">
        <f>+G57+G58</f>
        <v>-1000000</v>
      </c>
      <c r="H61" s="83">
        <f>+H57+H58</f>
        <v>-1199990</v>
      </c>
      <c r="I61" s="83"/>
      <c r="J61" s="83"/>
      <c r="K61" s="83"/>
      <c r="L61" s="83"/>
    </row>
    <row r="62" spans="1:12" ht="17.100000000000001" customHeight="1">
      <c r="A62" s="98" t="s">
        <v>19</v>
      </c>
      <c r="B62" s="99" t="s">
        <v>20</v>
      </c>
      <c r="C62" s="87">
        <f>K45+C61</f>
        <v>5553928</v>
      </c>
      <c r="D62" s="87">
        <f>C62+D61</f>
        <v>6159315</v>
      </c>
      <c r="E62" s="87">
        <f t="shared" ref="E62:H62" si="27">D62+E61</f>
        <v>6761701</v>
      </c>
      <c r="F62" s="87">
        <f t="shared" si="27"/>
        <v>7101418</v>
      </c>
      <c r="G62" s="87">
        <f t="shared" si="27"/>
        <v>6101418</v>
      </c>
      <c r="H62" s="94">
        <f t="shared" si="27"/>
        <v>4901428</v>
      </c>
      <c r="I62" s="94"/>
      <c r="J62" s="77"/>
      <c r="K62" s="77"/>
      <c r="L62" s="77"/>
    </row>
    <row r="63" spans="1:12" ht="17.100000000000001" customHeight="1">
      <c r="A63" s="6" t="s">
        <v>21</v>
      </c>
      <c r="B63" s="18" t="s">
        <v>22</v>
      </c>
      <c r="C63" s="26">
        <f>K46+C56</f>
        <v>450</v>
      </c>
      <c r="D63" s="26">
        <f>C63+D56</f>
        <v>470</v>
      </c>
      <c r="E63" s="26">
        <f t="shared" ref="E63:F63" si="28">D63+E56</f>
        <v>490</v>
      </c>
      <c r="F63" s="26">
        <f t="shared" si="28"/>
        <v>500</v>
      </c>
      <c r="G63" s="26">
        <v>400</v>
      </c>
      <c r="H63" s="26">
        <v>400</v>
      </c>
      <c r="I63" s="26"/>
      <c r="J63" s="6"/>
      <c r="K63" s="6"/>
      <c r="L63" s="6"/>
    </row>
    <row r="64" spans="1:12" ht="17.100000000000001" customHeight="1">
      <c r="A64" s="6" t="s">
        <v>23</v>
      </c>
      <c r="B64" s="7" t="s">
        <v>24</v>
      </c>
      <c r="C64" s="20">
        <f t="shared" ref="C64:G64" si="29">+C62/C63/1000</f>
        <v>12.342062222222223</v>
      </c>
      <c r="D64" s="20">
        <f t="shared" si="29"/>
        <v>13.104925531914894</v>
      </c>
      <c r="E64" s="20">
        <f t="shared" si="29"/>
        <v>13.799389795918367</v>
      </c>
      <c r="F64" s="20">
        <f t="shared" si="29"/>
        <v>14.202836</v>
      </c>
      <c r="G64" s="20">
        <f t="shared" si="29"/>
        <v>15.253545000000001</v>
      </c>
      <c r="H64" s="20">
        <f t="shared" ref="H64" si="30">+H62/H63/1000</f>
        <v>12.25357</v>
      </c>
      <c r="I64" s="20"/>
      <c r="J64" s="20"/>
      <c r="K64" s="10"/>
      <c r="L64" s="10"/>
    </row>
    <row r="65" spans="1:12" ht="17.100000000000001" customHeight="1">
      <c r="A65" s="6" t="s">
        <v>25</v>
      </c>
      <c r="B65" s="7" t="s">
        <v>26</v>
      </c>
      <c r="C65" s="21"/>
      <c r="D65" s="6"/>
      <c r="E65" s="6"/>
      <c r="F65" s="6"/>
      <c r="G65" s="6"/>
      <c r="H65" s="6"/>
      <c r="I65" s="6"/>
      <c r="J65" s="6"/>
      <c r="K65" s="6"/>
      <c r="L65" s="6"/>
    </row>
    <row r="66" spans="1:12" ht="17.100000000000001" customHeight="1">
      <c r="A66" s="6" t="s">
        <v>27</v>
      </c>
      <c r="B66" s="7" t="s">
        <v>28</v>
      </c>
      <c r="C66" s="11"/>
      <c r="D66" s="6"/>
      <c r="E66" s="6"/>
      <c r="F66" s="6"/>
      <c r="G66" s="6"/>
      <c r="H66" s="6">
        <v>3</v>
      </c>
      <c r="I66" s="23"/>
      <c r="J66" s="6"/>
      <c r="K66" s="6"/>
      <c r="L66" s="6"/>
    </row>
    <row r="67" spans="1:12" ht="17.100000000000001" customHeight="1">
      <c r="A67" s="6" t="s">
        <v>29</v>
      </c>
      <c r="B67" s="7" t="s">
        <v>30</v>
      </c>
      <c r="C67" s="11"/>
      <c r="D67" s="6"/>
      <c r="E67" s="6"/>
      <c r="F67" s="6"/>
      <c r="G67" s="6" t="s">
        <v>422</v>
      </c>
      <c r="H67" s="6"/>
      <c r="I67" s="6"/>
      <c r="J67" s="6"/>
      <c r="K67" s="6"/>
      <c r="L67" s="6"/>
    </row>
  </sheetData>
  <mergeCells count="4">
    <mergeCell ref="A35:B35"/>
    <mergeCell ref="A52:B52"/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view="pageBreakPreview" topLeftCell="A49" zoomScale="85" zoomScaleNormal="100" zoomScaleSheetLayoutView="85" workbookViewId="0">
      <selection activeCell="C74" sqref="C74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 ht="17.100000000000001" customHeight="1">
      <c r="A1" s="438" t="s">
        <v>32</v>
      </c>
      <c r="B1" s="439"/>
      <c r="C1" s="1" t="s">
        <v>34</v>
      </c>
      <c r="D1" s="1" t="s">
        <v>35</v>
      </c>
      <c r="E1" s="1" t="s">
        <v>36</v>
      </c>
      <c r="F1" s="2" t="s">
        <v>37</v>
      </c>
      <c r="G1" s="1" t="s">
        <v>38</v>
      </c>
      <c r="H1" s="1" t="s">
        <v>39</v>
      </c>
      <c r="I1" s="1" t="s">
        <v>57</v>
      </c>
      <c r="J1" s="1" t="s">
        <v>58</v>
      </c>
      <c r="K1" s="1" t="s">
        <v>59</v>
      </c>
      <c r="L1" s="1" t="s">
        <v>81</v>
      </c>
    </row>
    <row r="2" spans="1:12" ht="17.100000000000001" customHeight="1">
      <c r="A2" s="3" t="s">
        <v>0</v>
      </c>
      <c r="B2" s="4" t="s">
        <v>31</v>
      </c>
      <c r="C2" s="5" t="s">
        <v>2</v>
      </c>
      <c r="D2" s="1" t="s">
        <v>2</v>
      </c>
      <c r="E2" s="1" t="s">
        <v>2</v>
      </c>
      <c r="F2" s="2" t="s">
        <v>2</v>
      </c>
      <c r="G2" s="1" t="s">
        <v>2</v>
      </c>
      <c r="H2" s="1" t="s">
        <v>2</v>
      </c>
      <c r="I2" s="1" t="s">
        <v>60</v>
      </c>
      <c r="J2" s="1" t="s">
        <v>60</v>
      </c>
      <c r="K2" s="1" t="s">
        <v>60</v>
      </c>
      <c r="L2" s="1" t="s">
        <v>69</v>
      </c>
    </row>
    <row r="3" spans="1:12" ht="17.100000000000001" customHeight="1">
      <c r="A3" s="6" t="s">
        <v>3</v>
      </c>
      <c r="B3" s="7" t="s">
        <v>4</v>
      </c>
      <c r="C3" s="8" t="s">
        <v>48</v>
      </c>
      <c r="D3" s="8" t="s">
        <v>49</v>
      </c>
      <c r="E3" s="8" t="s">
        <v>50</v>
      </c>
      <c r="F3" s="9" t="s">
        <v>51</v>
      </c>
      <c r="G3" s="8" t="s">
        <v>52</v>
      </c>
      <c r="H3" s="8" t="s">
        <v>52</v>
      </c>
      <c r="I3" s="8" t="s">
        <v>61</v>
      </c>
      <c r="J3" s="8" t="s">
        <v>61</v>
      </c>
      <c r="K3" s="8" t="s">
        <v>61</v>
      </c>
      <c r="L3" s="8" t="s">
        <v>70</v>
      </c>
    </row>
    <row r="4" spans="1:12" ht="17.100000000000001" customHeight="1">
      <c r="A4" s="6" t="s">
        <v>5</v>
      </c>
      <c r="B4" s="7" t="s">
        <v>6</v>
      </c>
      <c r="C4" s="29">
        <v>10.9</v>
      </c>
      <c r="D4" s="29">
        <v>10.9</v>
      </c>
      <c r="E4" s="29">
        <v>10.9</v>
      </c>
      <c r="F4" s="30">
        <v>10.85</v>
      </c>
      <c r="G4" s="6">
        <v>10.85</v>
      </c>
      <c r="H4" s="6">
        <v>10.8</v>
      </c>
      <c r="I4" s="6">
        <v>10.55</v>
      </c>
      <c r="J4" s="6">
        <v>10.5</v>
      </c>
      <c r="K4" s="6">
        <v>10.45</v>
      </c>
      <c r="L4" s="6">
        <v>10.199999999999999</v>
      </c>
    </row>
    <row r="5" spans="1:12" ht="17.100000000000001" customHeight="1" thickBot="1">
      <c r="A5" s="72" t="s">
        <v>7</v>
      </c>
      <c r="B5" s="73" t="s">
        <v>8</v>
      </c>
      <c r="C5" s="74">
        <v>450</v>
      </c>
      <c r="D5" s="74">
        <v>450</v>
      </c>
      <c r="E5" s="74">
        <v>450</v>
      </c>
      <c r="F5" s="91">
        <v>30</v>
      </c>
      <c r="G5" s="72">
        <v>100</v>
      </c>
      <c r="H5" s="72">
        <v>150</v>
      </c>
      <c r="I5" s="72">
        <v>100</v>
      </c>
      <c r="J5" s="72">
        <v>100</v>
      </c>
      <c r="K5" s="72">
        <v>100</v>
      </c>
      <c r="L5" s="72">
        <v>200</v>
      </c>
    </row>
    <row r="6" spans="1:12" ht="17.100000000000001" customHeight="1">
      <c r="A6" s="78" t="s">
        <v>9</v>
      </c>
      <c r="B6" s="328" t="s">
        <v>10</v>
      </c>
      <c r="C6" s="317">
        <f>ROUNDDOWN(+C4*1000*C5,0)</f>
        <v>4905000</v>
      </c>
      <c r="D6" s="317">
        <f>ROUNDDOWN(+D4*1000*D5,0)</f>
        <v>4905000</v>
      </c>
      <c r="E6" s="317">
        <f>ROUNDDOWN(+E4*1000*E5,0)</f>
        <v>4905000</v>
      </c>
      <c r="F6" s="317">
        <f t="shared" ref="F6:L6" si="0">ROUNDDOWN(+F4*1000*F5,0)</f>
        <v>325500</v>
      </c>
      <c r="G6" s="317">
        <f t="shared" si="0"/>
        <v>1085000</v>
      </c>
      <c r="H6" s="317">
        <f t="shared" si="0"/>
        <v>1620000</v>
      </c>
      <c r="I6" s="317">
        <f t="shared" si="0"/>
        <v>1055000</v>
      </c>
      <c r="J6" s="317">
        <f t="shared" si="0"/>
        <v>1050000</v>
      </c>
      <c r="K6" s="317">
        <f t="shared" si="0"/>
        <v>1045000</v>
      </c>
      <c r="L6" s="317">
        <f t="shared" si="0"/>
        <v>2040000</v>
      </c>
    </row>
    <row r="7" spans="1:12" ht="17.100000000000001" customHeight="1">
      <c r="A7" s="32" t="s">
        <v>11</v>
      </c>
      <c r="B7" s="329" t="s">
        <v>12</v>
      </c>
      <c r="C7" s="318">
        <f>ROUNDDOWN(+C6*0.001425*0.45,0)</f>
        <v>3145</v>
      </c>
      <c r="D7" s="318">
        <f>ROUNDDOWN(+D6*0.001425*0.45,0)</f>
        <v>3145</v>
      </c>
      <c r="E7" s="318">
        <f>ROUNDDOWN(+E6*0.001425*0.45,0)</f>
        <v>3145</v>
      </c>
      <c r="F7" s="318">
        <f>ROUNDDOWN(+F6*0.001425*0.45,0)</f>
        <v>208</v>
      </c>
      <c r="G7" s="318">
        <f t="shared" ref="G7:L7" si="1">ROUNDDOWN(+G6*0.001425*0.45,0)</f>
        <v>695</v>
      </c>
      <c r="H7" s="318">
        <f t="shared" si="1"/>
        <v>1038</v>
      </c>
      <c r="I7" s="318">
        <f t="shared" si="1"/>
        <v>676</v>
      </c>
      <c r="J7" s="318">
        <f t="shared" si="1"/>
        <v>673</v>
      </c>
      <c r="K7" s="318">
        <f t="shared" si="1"/>
        <v>670</v>
      </c>
      <c r="L7" s="318">
        <f t="shared" si="1"/>
        <v>1308</v>
      </c>
    </row>
    <row r="8" spans="1:12" ht="17.100000000000001" customHeight="1">
      <c r="A8" s="32" t="s">
        <v>13</v>
      </c>
      <c r="B8" s="329" t="s">
        <v>14</v>
      </c>
      <c r="C8" s="318"/>
      <c r="D8" s="14"/>
      <c r="E8" s="14"/>
      <c r="F8" s="14"/>
      <c r="G8" s="14"/>
      <c r="H8" s="14"/>
      <c r="I8" s="14"/>
      <c r="J8" s="14"/>
      <c r="K8" s="21"/>
      <c r="L8" s="21"/>
    </row>
    <row r="9" spans="1:12" ht="17.100000000000001" customHeight="1">
      <c r="A9" s="32" t="s">
        <v>15</v>
      </c>
      <c r="B9" s="330" t="s">
        <v>16</v>
      </c>
      <c r="C9" s="318"/>
      <c r="D9" s="14"/>
      <c r="E9" s="14"/>
      <c r="F9" s="14"/>
      <c r="G9" s="14"/>
      <c r="H9" s="14"/>
      <c r="I9" s="14"/>
      <c r="J9" s="14"/>
      <c r="K9" s="21"/>
      <c r="L9" s="21"/>
    </row>
    <row r="10" spans="1:12" ht="17.100000000000001" customHeight="1" thickBot="1">
      <c r="A10" s="81" t="s">
        <v>17</v>
      </c>
      <c r="B10" s="331" t="s">
        <v>18</v>
      </c>
      <c r="C10" s="319">
        <f>+C6+C7</f>
        <v>4908145</v>
      </c>
      <c r="D10" s="319">
        <f t="shared" ref="D10:L10" si="2">+D6+D7</f>
        <v>4908145</v>
      </c>
      <c r="E10" s="319">
        <f t="shared" si="2"/>
        <v>4908145</v>
      </c>
      <c r="F10" s="319">
        <f t="shared" si="2"/>
        <v>325708</v>
      </c>
      <c r="G10" s="319">
        <f t="shared" si="2"/>
        <v>1085695</v>
      </c>
      <c r="H10" s="319">
        <f t="shared" si="2"/>
        <v>1621038</v>
      </c>
      <c r="I10" s="319">
        <f t="shared" si="2"/>
        <v>1055676</v>
      </c>
      <c r="J10" s="319">
        <f t="shared" si="2"/>
        <v>1050673</v>
      </c>
      <c r="K10" s="319">
        <f t="shared" si="2"/>
        <v>1045670</v>
      </c>
      <c r="L10" s="319">
        <f t="shared" si="2"/>
        <v>2041308</v>
      </c>
    </row>
    <row r="11" spans="1:12" ht="17.100000000000001" customHeight="1">
      <c r="A11" s="98" t="s">
        <v>19</v>
      </c>
      <c r="B11" s="99" t="s">
        <v>20</v>
      </c>
      <c r="C11" s="86">
        <f>+C10</f>
        <v>4908145</v>
      </c>
      <c r="D11" s="86">
        <f>+C11+D10</f>
        <v>9816290</v>
      </c>
      <c r="E11" s="86">
        <f>+D11+E10</f>
        <v>14724435</v>
      </c>
      <c r="F11" s="86">
        <f t="shared" ref="F11:G11" si="3">+E11+F10</f>
        <v>15050143</v>
      </c>
      <c r="G11" s="86">
        <f t="shared" si="3"/>
        <v>16135838</v>
      </c>
      <c r="H11" s="86">
        <f>+G11+H10</f>
        <v>17756876</v>
      </c>
      <c r="I11" s="86">
        <f t="shared" ref="I11:L11" si="4">+H11+I10</f>
        <v>18812552</v>
      </c>
      <c r="J11" s="86">
        <f t="shared" si="4"/>
        <v>19863225</v>
      </c>
      <c r="K11" s="86">
        <f t="shared" si="4"/>
        <v>20908895</v>
      </c>
      <c r="L11" s="86">
        <f t="shared" si="4"/>
        <v>22950203</v>
      </c>
    </row>
    <row r="12" spans="1:12" ht="17.100000000000001" customHeight="1">
      <c r="A12" s="6" t="s">
        <v>21</v>
      </c>
      <c r="B12" s="18" t="s">
        <v>22</v>
      </c>
      <c r="C12" s="19">
        <f>+C5</f>
        <v>450</v>
      </c>
      <c r="D12" s="19">
        <f>+C12+D5</f>
        <v>900</v>
      </c>
      <c r="E12" s="19">
        <f t="shared" ref="E12:H12" si="5">+D12+E5</f>
        <v>1350</v>
      </c>
      <c r="F12" s="19">
        <f t="shared" si="5"/>
        <v>1380</v>
      </c>
      <c r="G12" s="19">
        <f t="shared" si="5"/>
        <v>1480</v>
      </c>
      <c r="H12" s="19">
        <f t="shared" si="5"/>
        <v>1630</v>
      </c>
      <c r="I12" s="19">
        <f t="shared" ref="I12" si="6">+H12+I5</f>
        <v>1730</v>
      </c>
      <c r="J12" s="19">
        <f t="shared" ref="J12" si="7">+I12+J5</f>
        <v>1830</v>
      </c>
      <c r="K12" s="19">
        <f t="shared" ref="K12:L12" si="8">+J12+K5</f>
        <v>1930</v>
      </c>
      <c r="L12" s="19">
        <f t="shared" si="8"/>
        <v>2130</v>
      </c>
    </row>
    <row r="13" spans="1:12" ht="17.100000000000001" customHeight="1">
      <c r="A13" s="6" t="s">
        <v>23</v>
      </c>
      <c r="B13" s="7" t="s">
        <v>24</v>
      </c>
      <c r="C13" s="20">
        <f>+C11/C12/1000</f>
        <v>10.90698888888889</v>
      </c>
      <c r="D13" s="20">
        <f t="shared" ref="D13:L13" si="9">+D11/D12/1000</f>
        <v>10.90698888888889</v>
      </c>
      <c r="E13" s="20">
        <f t="shared" si="9"/>
        <v>10.90698888888889</v>
      </c>
      <c r="F13" s="20">
        <f t="shared" si="9"/>
        <v>10.90590072463768</v>
      </c>
      <c r="G13" s="20">
        <f t="shared" si="9"/>
        <v>10.902593243243244</v>
      </c>
      <c r="H13" s="20">
        <f t="shared" si="9"/>
        <v>10.893788957055214</v>
      </c>
      <c r="I13" s="20">
        <f t="shared" si="9"/>
        <v>10.874307514450868</v>
      </c>
      <c r="J13" s="20">
        <f t="shared" si="9"/>
        <v>10.85422131147541</v>
      </c>
      <c r="K13" s="20">
        <f t="shared" si="9"/>
        <v>10.833624352331606</v>
      </c>
      <c r="L13" s="20">
        <f t="shared" si="9"/>
        <v>10.774743192488263</v>
      </c>
    </row>
    <row r="14" spans="1:12" ht="17.100000000000001" customHeight="1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 ht="17.100000000000001" customHeight="1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22"/>
      <c r="K15" s="6"/>
      <c r="L15" s="6"/>
    </row>
    <row r="16" spans="1:12" ht="17.100000000000001" customHeight="1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23"/>
      <c r="K16" s="6"/>
      <c r="L16" s="6"/>
    </row>
    <row r="17" spans="1:12" ht="6.6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7.100000000000001" customHeight="1">
      <c r="A18" s="438" t="s">
        <v>32</v>
      </c>
      <c r="B18" s="439"/>
      <c r="C18" s="1" t="s">
        <v>82</v>
      </c>
      <c r="D18" s="1" t="s">
        <v>88</v>
      </c>
      <c r="E18" s="1" t="s">
        <v>88</v>
      </c>
      <c r="F18" s="1" t="s">
        <v>354</v>
      </c>
      <c r="G18" s="1" t="s">
        <v>354</v>
      </c>
      <c r="H18" s="1" t="s">
        <v>298</v>
      </c>
      <c r="I18" s="1" t="s">
        <v>298</v>
      </c>
      <c r="J18" s="1" t="s">
        <v>298</v>
      </c>
      <c r="K18" s="1" t="s">
        <v>358</v>
      </c>
      <c r="L18" s="1" t="s">
        <v>360</v>
      </c>
    </row>
    <row r="19" spans="1:12" ht="17.100000000000001" customHeight="1">
      <c r="A19" s="3" t="s">
        <v>0</v>
      </c>
      <c r="B19" s="4" t="s">
        <v>1</v>
      </c>
      <c r="C19" s="5" t="s">
        <v>71</v>
      </c>
      <c r="D19" s="1" t="s">
        <v>89</v>
      </c>
      <c r="E19" s="1" t="s">
        <v>163</v>
      </c>
      <c r="F19" s="1" t="s">
        <v>355</v>
      </c>
      <c r="G19" s="1" t="s">
        <v>355</v>
      </c>
      <c r="H19" s="1" t="s">
        <v>299</v>
      </c>
      <c r="I19" s="1" t="s">
        <v>300</v>
      </c>
      <c r="J19" s="1" t="s">
        <v>301</v>
      </c>
      <c r="K19" s="1" t="s">
        <v>301</v>
      </c>
      <c r="L19" s="1" t="s">
        <v>301</v>
      </c>
    </row>
    <row r="20" spans="1:12" ht="17.100000000000001" customHeight="1">
      <c r="A20" s="6" t="s">
        <v>3</v>
      </c>
      <c r="B20" s="7" t="s">
        <v>4</v>
      </c>
      <c r="C20" s="8" t="s">
        <v>70</v>
      </c>
      <c r="D20" s="8" t="s">
        <v>134</v>
      </c>
      <c r="E20" s="8" t="s">
        <v>353</v>
      </c>
      <c r="F20" s="8">
        <v>45170</v>
      </c>
      <c r="G20" s="8">
        <v>45171</v>
      </c>
      <c r="H20" s="8">
        <v>45177</v>
      </c>
      <c r="I20" s="8">
        <v>45140</v>
      </c>
      <c r="J20" s="8" t="s">
        <v>361</v>
      </c>
      <c r="K20" s="8" t="s">
        <v>362</v>
      </c>
      <c r="L20" s="8" t="s">
        <v>364</v>
      </c>
    </row>
    <row r="21" spans="1:12" ht="17.100000000000001" customHeight="1">
      <c r="A21" s="6" t="s">
        <v>5</v>
      </c>
      <c r="B21" s="7" t="s">
        <v>6</v>
      </c>
      <c r="C21" s="10">
        <v>10.199999999999999</v>
      </c>
      <c r="D21" s="46">
        <v>-0.3</v>
      </c>
      <c r="E21" s="6">
        <v>-0.2</v>
      </c>
      <c r="F21" s="10">
        <v>10.1</v>
      </c>
      <c r="G21" s="6">
        <v>10.050000000000001</v>
      </c>
      <c r="H21" s="6">
        <v>-0.1</v>
      </c>
      <c r="I21" s="6">
        <v>-0.1</v>
      </c>
      <c r="J21" s="6">
        <v>-0.1</v>
      </c>
      <c r="K21" s="6">
        <v>13.2</v>
      </c>
      <c r="L21" s="6">
        <v>13.2</v>
      </c>
    </row>
    <row r="22" spans="1:12" ht="17.100000000000001" customHeight="1" thickBot="1">
      <c r="A22" s="72" t="s">
        <v>7</v>
      </c>
      <c r="B22" s="73" t="s">
        <v>8</v>
      </c>
      <c r="C22" s="84">
        <v>100</v>
      </c>
      <c r="D22" s="102">
        <v>2230</v>
      </c>
      <c r="E22" s="108">
        <f>+D29</f>
        <v>2341.5</v>
      </c>
      <c r="F22" s="84">
        <v>-20</v>
      </c>
      <c r="G22" s="72">
        <v>-40</v>
      </c>
      <c r="H22" s="109">
        <f>G29</f>
        <v>2398.5750000000003</v>
      </c>
      <c r="I22" s="72">
        <f>H29</f>
        <v>2480.1265500000004</v>
      </c>
      <c r="J22" s="110">
        <f>I29</f>
        <v>2571.8912323500003</v>
      </c>
      <c r="K22" s="72">
        <v>50</v>
      </c>
      <c r="L22" s="72">
        <v>100</v>
      </c>
    </row>
    <row r="23" spans="1:12" ht="17.100000000000001" customHeight="1">
      <c r="A23" s="78" t="s">
        <v>9</v>
      </c>
      <c r="B23" s="79" t="s">
        <v>10</v>
      </c>
      <c r="C23" s="317">
        <f>ROUNDDOWN(+C21*C22*1000,0)</f>
        <v>1020000</v>
      </c>
      <c r="D23" s="317">
        <f t="shared" ref="D23:L23" si="10">ROUNDDOWN(+D21*D22*1000,0)</f>
        <v>-669000</v>
      </c>
      <c r="E23" s="317">
        <f t="shared" si="10"/>
        <v>-468300</v>
      </c>
      <c r="F23" s="317">
        <f t="shared" si="10"/>
        <v>-202000</v>
      </c>
      <c r="G23" s="317">
        <f t="shared" si="10"/>
        <v>-402000</v>
      </c>
      <c r="H23" s="317">
        <f t="shared" si="10"/>
        <v>-239857</v>
      </c>
      <c r="I23" s="317">
        <f t="shared" si="10"/>
        <v>-248012</v>
      </c>
      <c r="J23" s="317">
        <f t="shared" si="10"/>
        <v>-257189</v>
      </c>
      <c r="K23" s="317">
        <f t="shared" si="10"/>
        <v>660000</v>
      </c>
      <c r="L23" s="317">
        <f t="shared" si="10"/>
        <v>1320000</v>
      </c>
    </row>
    <row r="24" spans="1:12" ht="17.100000000000001" customHeight="1">
      <c r="A24" s="32" t="s">
        <v>11</v>
      </c>
      <c r="B24" s="61" t="s">
        <v>12</v>
      </c>
      <c r="C24" s="318">
        <f>ROUNDDOWN(+C23*0.001425*0.45,0)</f>
        <v>654</v>
      </c>
      <c r="D24" s="318">
        <v>10</v>
      </c>
      <c r="E24" s="318">
        <v>10</v>
      </c>
      <c r="F24" s="318">
        <v>129</v>
      </c>
      <c r="G24" s="318">
        <v>257</v>
      </c>
      <c r="H24" s="318">
        <v>10</v>
      </c>
      <c r="I24" s="318">
        <v>10</v>
      </c>
      <c r="J24" s="318">
        <v>10</v>
      </c>
      <c r="K24" s="318">
        <f t="shared" ref="K24:L24" si="11">ROUNDDOWN(+K23*0.001425*0.45,0)</f>
        <v>423</v>
      </c>
      <c r="L24" s="318">
        <f t="shared" si="11"/>
        <v>846</v>
      </c>
    </row>
    <row r="25" spans="1:12" ht="17.100000000000001" customHeight="1">
      <c r="A25" s="32" t="s">
        <v>13</v>
      </c>
      <c r="B25" s="61" t="s">
        <v>14</v>
      </c>
      <c r="C25" s="318"/>
      <c r="D25" s="14"/>
      <c r="E25" s="14"/>
      <c r="F25" s="332">
        <f t="shared" ref="F25:G25" si="12">-ROUNDDOWN(F23*3/1000,0)</f>
        <v>606</v>
      </c>
      <c r="G25" s="14">
        <f t="shared" si="12"/>
        <v>1206</v>
      </c>
      <c r="H25" s="14"/>
      <c r="I25" s="14"/>
      <c r="J25" s="14"/>
      <c r="K25" s="21"/>
      <c r="L25" s="21"/>
    </row>
    <row r="26" spans="1:12" ht="17.100000000000001" customHeight="1">
      <c r="A26" s="32" t="s">
        <v>15</v>
      </c>
      <c r="B26" s="62" t="s">
        <v>16</v>
      </c>
      <c r="C26" s="318"/>
      <c r="D26" s="14"/>
      <c r="E26" s="14"/>
      <c r="F26" s="14"/>
      <c r="G26" s="14"/>
      <c r="H26" s="14"/>
      <c r="I26" s="14"/>
      <c r="J26" s="14"/>
      <c r="K26" s="21"/>
      <c r="L26" s="21"/>
    </row>
    <row r="27" spans="1:12" ht="17.100000000000001" customHeight="1" thickBot="1">
      <c r="A27" s="81" t="s">
        <v>17</v>
      </c>
      <c r="B27" s="82" t="s">
        <v>18</v>
      </c>
      <c r="C27" s="319">
        <f>+C23+C24+C25+C26</f>
        <v>1020654</v>
      </c>
      <c r="D27" s="319">
        <f>SUM(D23:D26)</f>
        <v>-668990</v>
      </c>
      <c r="E27" s="320">
        <f>+E23+E24</f>
        <v>-468290</v>
      </c>
      <c r="F27" s="320">
        <f>SUM(F23:F26)</f>
        <v>-201265</v>
      </c>
      <c r="G27" s="320">
        <f>SUM(G23:G26)</f>
        <v>-400537</v>
      </c>
      <c r="H27" s="320">
        <f t="shared" ref="H27:J27" si="13">SUM(H23:H26)</f>
        <v>-239847</v>
      </c>
      <c r="I27" s="320">
        <f t="shared" si="13"/>
        <v>-248002</v>
      </c>
      <c r="J27" s="320">
        <f t="shared" si="13"/>
        <v>-257179</v>
      </c>
      <c r="K27" s="319">
        <f t="shared" ref="K27:L27" si="14">+K23+K24+K25+K26</f>
        <v>660423</v>
      </c>
      <c r="L27" s="319">
        <f t="shared" si="14"/>
        <v>1320846</v>
      </c>
    </row>
    <row r="28" spans="1:12" ht="17.100000000000001" customHeight="1">
      <c r="A28" s="98" t="s">
        <v>19</v>
      </c>
      <c r="B28" s="99" t="s">
        <v>20</v>
      </c>
      <c r="C28" s="86">
        <f>+L11+C27</f>
        <v>23970857</v>
      </c>
      <c r="D28" s="86">
        <f>+C28+D27</f>
        <v>23301867</v>
      </c>
      <c r="E28" s="86">
        <f>+D28+E27</f>
        <v>22833577</v>
      </c>
      <c r="F28" s="86">
        <f t="shared" ref="F28:J28" si="15">+E28+F27</f>
        <v>22632312</v>
      </c>
      <c r="G28" s="86">
        <f t="shared" si="15"/>
        <v>22231775</v>
      </c>
      <c r="H28" s="86">
        <f t="shared" si="15"/>
        <v>21991928</v>
      </c>
      <c r="I28" s="86">
        <f t="shared" si="15"/>
        <v>21743926</v>
      </c>
      <c r="J28" s="86">
        <f t="shared" si="15"/>
        <v>21486747</v>
      </c>
      <c r="K28" s="86">
        <f t="shared" ref="K28" si="16">+J28+K27</f>
        <v>22147170</v>
      </c>
      <c r="L28" s="86">
        <f t="shared" ref="L28" si="17">+K28+L27</f>
        <v>23468016</v>
      </c>
    </row>
    <row r="29" spans="1:12" ht="17.100000000000001" customHeight="1">
      <c r="A29" s="6" t="s">
        <v>21</v>
      </c>
      <c r="B29" s="18" t="s">
        <v>22</v>
      </c>
      <c r="C29" s="19">
        <f>+L12+C22</f>
        <v>2230</v>
      </c>
      <c r="D29" s="107">
        <v>2341.5</v>
      </c>
      <c r="E29" s="6">
        <f>+D29*1.05</f>
        <v>2458.5750000000003</v>
      </c>
      <c r="F29" s="39">
        <f>E29+F22</f>
        <v>2438.5750000000003</v>
      </c>
      <c r="G29" s="39">
        <f>F29+G22</f>
        <v>2398.5750000000003</v>
      </c>
      <c r="H29" s="6">
        <f>G29+G29*H33/10</f>
        <v>2480.1265500000004</v>
      </c>
      <c r="I29" s="64">
        <f>H29+H29*I33/10</f>
        <v>2571.8912323500003</v>
      </c>
      <c r="J29" s="64">
        <f>I29+I29*J33/10</f>
        <v>2633.6166219264005</v>
      </c>
      <c r="K29" s="23">
        <f>J29+K22</f>
        <v>2683.6166219264005</v>
      </c>
      <c r="L29" s="23">
        <f>K29+L22</f>
        <v>2783.6166219264005</v>
      </c>
    </row>
    <row r="30" spans="1:12" ht="17.100000000000001" customHeight="1">
      <c r="A30" s="6" t="s">
        <v>23</v>
      </c>
      <c r="B30" s="7" t="s">
        <v>24</v>
      </c>
      <c r="C30" s="20">
        <f>+C28/C29/1000</f>
        <v>10.749263228699553</v>
      </c>
      <c r="D30" s="44">
        <f>+D28/D29/1000</f>
        <v>9.9516835361947464</v>
      </c>
      <c r="E30" s="44">
        <f>+E28/E29/1000</f>
        <v>9.2873217209155694</v>
      </c>
      <c r="F30" s="44">
        <f t="shared" ref="F30:J30" si="18">+F28/F29/1000</f>
        <v>9.2809579364997994</v>
      </c>
      <c r="G30" s="44">
        <f t="shared" si="18"/>
        <v>9.2687428994298688</v>
      </c>
      <c r="H30" s="44">
        <f t="shared" si="18"/>
        <v>8.8672604226586742</v>
      </c>
      <c r="I30" s="10">
        <f t="shared" si="18"/>
        <v>8.4544500663552711</v>
      </c>
      <c r="J30" s="34">
        <f t="shared" si="18"/>
        <v>8.1586464867780109</v>
      </c>
      <c r="K30" s="34">
        <f t="shared" ref="K30" si="19">+K28/K29/1000</f>
        <v>8.2527324577763004</v>
      </c>
      <c r="L30" s="34">
        <f t="shared" ref="L30" si="20">+L28/L29/1000</f>
        <v>8.4307644289603978</v>
      </c>
    </row>
    <row r="31" spans="1:12" ht="17.100000000000001" customHeight="1">
      <c r="A31" s="6" t="s">
        <v>25</v>
      </c>
      <c r="B31" s="7" t="s">
        <v>26</v>
      </c>
      <c r="C31" s="6" t="s">
        <v>135</v>
      </c>
      <c r="D31" s="6" t="s">
        <v>139</v>
      </c>
      <c r="E31" s="6" t="s">
        <v>181</v>
      </c>
      <c r="F31" s="6"/>
      <c r="G31" s="6"/>
      <c r="H31" s="6"/>
      <c r="I31" s="6" t="s">
        <v>356</v>
      </c>
      <c r="J31" s="6" t="s">
        <v>357</v>
      </c>
      <c r="K31" s="6"/>
      <c r="L31" s="6"/>
    </row>
    <row r="32" spans="1:12" ht="17.100000000000001" customHeight="1">
      <c r="A32" s="6" t="s">
        <v>27</v>
      </c>
      <c r="B32" s="7" t="s">
        <v>28</v>
      </c>
      <c r="C32" s="29"/>
      <c r="D32" s="46">
        <v>0.3</v>
      </c>
      <c r="E32" s="6">
        <v>0.2</v>
      </c>
      <c r="F32" s="6"/>
      <c r="G32" s="6"/>
      <c r="H32" s="6">
        <v>0.1</v>
      </c>
      <c r="I32" s="6">
        <v>0.1</v>
      </c>
      <c r="J32" s="59">
        <v>0.1</v>
      </c>
      <c r="K32" s="6"/>
      <c r="L32" s="6"/>
    </row>
    <row r="33" spans="1:12" ht="17.100000000000001" customHeight="1">
      <c r="A33" s="6" t="s">
        <v>29</v>
      </c>
      <c r="B33" s="7" t="s">
        <v>30</v>
      </c>
      <c r="C33" s="6"/>
      <c r="D33" s="46">
        <v>0.5</v>
      </c>
      <c r="E33" s="6">
        <v>0.5</v>
      </c>
      <c r="F33" s="6"/>
      <c r="G33" s="6"/>
      <c r="H33" s="6">
        <v>0.34</v>
      </c>
      <c r="I33" s="6">
        <v>0.37</v>
      </c>
      <c r="J33" s="111">
        <v>0.24</v>
      </c>
      <c r="K33" s="6"/>
      <c r="L33" s="6"/>
    </row>
    <row r="34" spans="1:12" ht="9" customHeight="1"/>
    <row r="35" spans="1:12" ht="17.100000000000001" customHeight="1">
      <c r="A35" s="438" t="s">
        <v>32</v>
      </c>
      <c r="B35" s="439"/>
      <c r="C35" s="1" t="s">
        <v>359</v>
      </c>
      <c r="D35" s="1" t="s">
        <v>365</v>
      </c>
      <c r="E35" s="1" t="s">
        <v>366</v>
      </c>
      <c r="F35" s="2" t="s">
        <v>306</v>
      </c>
      <c r="G35" s="1" t="s">
        <v>369</v>
      </c>
      <c r="H35" s="1" t="s">
        <v>448</v>
      </c>
      <c r="I35" s="1" t="s">
        <v>451</v>
      </c>
      <c r="J35" s="1" t="s">
        <v>453</v>
      </c>
      <c r="K35" s="1" t="s">
        <v>523</v>
      </c>
      <c r="L35" s="307" t="s">
        <v>590</v>
      </c>
    </row>
    <row r="36" spans="1:12" ht="17.100000000000001" customHeight="1">
      <c r="A36" s="3" t="s">
        <v>0</v>
      </c>
      <c r="B36" s="4" t="s">
        <v>1</v>
      </c>
      <c r="C36" s="5" t="s">
        <v>254</v>
      </c>
      <c r="D36" s="1" t="s">
        <v>301</v>
      </c>
      <c r="E36" s="1" t="s">
        <v>301</v>
      </c>
      <c r="F36" s="2" t="s">
        <v>301</v>
      </c>
      <c r="G36" s="1" t="s">
        <v>301</v>
      </c>
      <c r="H36" s="1" t="s">
        <v>449</v>
      </c>
      <c r="I36" s="1" t="s">
        <v>452</v>
      </c>
      <c r="J36" s="1" t="s">
        <v>452</v>
      </c>
      <c r="K36" s="1" t="s">
        <v>524</v>
      </c>
      <c r="L36" s="307" t="s">
        <v>449</v>
      </c>
    </row>
    <row r="37" spans="1:12" ht="17.100000000000001" customHeight="1">
      <c r="A37" s="6" t="s">
        <v>3</v>
      </c>
      <c r="B37" s="7" t="s">
        <v>4</v>
      </c>
      <c r="C37" s="8" t="s">
        <v>363</v>
      </c>
      <c r="D37" s="8" t="s">
        <v>367</v>
      </c>
      <c r="E37" s="8" t="s">
        <v>367</v>
      </c>
      <c r="F37" s="9" t="s">
        <v>368</v>
      </c>
      <c r="G37" s="8" t="s">
        <v>370</v>
      </c>
      <c r="H37" s="8" t="s">
        <v>450</v>
      </c>
      <c r="I37" s="8" t="s">
        <v>450</v>
      </c>
      <c r="J37" s="8" t="s">
        <v>450</v>
      </c>
      <c r="K37" s="8" t="s">
        <v>525</v>
      </c>
      <c r="L37" s="308" t="s">
        <v>589</v>
      </c>
    </row>
    <row r="38" spans="1:12" ht="17.100000000000001" customHeight="1">
      <c r="A38" s="6" t="s">
        <v>5</v>
      </c>
      <c r="B38" s="7" t="s">
        <v>6</v>
      </c>
      <c r="C38" s="29">
        <v>13.2</v>
      </c>
      <c r="D38" s="29">
        <v>13.2</v>
      </c>
      <c r="E38" s="29">
        <v>13.15</v>
      </c>
      <c r="F38" s="30">
        <v>13</v>
      </c>
      <c r="G38" s="6">
        <v>13.05</v>
      </c>
      <c r="H38" s="6">
        <v>13.25</v>
      </c>
      <c r="I38" s="6">
        <v>13.2</v>
      </c>
      <c r="J38" s="6">
        <v>13.15</v>
      </c>
      <c r="K38" s="6">
        <v>15.8</v>
      </c>
      <c r="L38" s="309">
        <v>16.75</v>
      </c>
    </row>
    <row r="39" spans="1:12" ht="17.100000000000001" customHeight="1" thickBot="1">
      <c r="A39" s="72" t="s">
        <v>7</v>
      </c>
      <c r="B39" s="73" t="s">
        <v>8</v>
      </c>
      <c r="C39" s="74">
        <v>100</v>
      </c>
      <c r="D39" s="74">
        <v>200</v>
      </c>
      <c r="E39" s="74">
        <v>50</v>
      </c>
      <c r="F39" s="91">
        <v>20</v>
      </c>
      <c r="G39" s="72">
        <v>80</v>
      </c>
      <c r="H39" s="72">
        <v>140</v>
      </c>
      <c r="I39" s="72">
        <v>130</v>
      </c>
      <c r="J39" s="72">
        <v>100</v>
      </c>
      <c r="K39" s="72">
        <v>100</v>
      </c>
      <c r="L39" s="316">
        <v>67</v>
      </c>
    </row>
    <row r="40" spans="1:12" ht="17.100000000000001" customHeight="1">
      <c r="A40" s="78" t="s">
        <v>9</v>
      </c>
      <c r="B40" s="79" t="s">
        <v>10</v>
      </c>
      <c r="C40" s="317">
        <v>1320000</v>
      </c>
      <c r="D40" s="317">
        <f>ROUNDDOWN(+D38*1000*D39,0)</f>
        <v>2640000</v>
      </c>
      <c r="E40" s="317">
        <f t="shared" ref="E40:L40" si="21">ROUNDDOWN(+E38*1000*E39,0)</f>
        <v>657500</v>
      </c>
      <c r="F40" s="317">
        <f t="shared" si="21"/>
        <v>260000</v>
      </c>
      <c r="G40" s="317">
        <f t="shared" si="21"/>
        <v>1044000</v>
      </c>
      <c r="H40" s="317">
        <f t="shared" si="21"/>
        <v>1855000</v>
      </c>
      <c r="I40" s="317">
        <f t="shared" si="21"/>
        <v>1716000</v>
      </c>
      <c r="J40" s="317">
        <f t="shared" si="21"/>
        <v>1315000</v>
      </c>
      <c r="K40" s="317">
        <f t="shared" si="21"/>
        <v>1580000</v>
      </c>
      <c r="L40" s="317">
        <f t="shared" si="21"/>
        <v>1122250</v>
      </c>
    </row>
    <row r="41" spans="1:12" ht="17.100000000000001" customHeight="1">
      <c r="A41" s="32" t="s">
        <v>11</v>
      </c>
      <c r="B41" s="61" t="s">
        <v>12</v>
      </c>
      <c r="C41" s="318">
        <v>846.45</v>
      </c>
      <c r="D41" s="318">
        <f>ROUNDDOWN(+D40*0.001425*0.45,0)</f>
        <v>1692</v>
      </c>
      <c r="E41" s="318">
        <f t="shared" ref="E41:L41" si="22">ROUNDDOWN(+E40*0.001425*0.45,0)</f>
        <v>421</v>
      </c>
      <c r="F41" s="318">
        <f t="shared" si="22"/>
        <v>166</v>
      </c>
      <c r="G41" s="318">
        <f t="shared" si="22"/>
        <v>669</v>
      </c>
      <c r="H41" s="318">
        <f t="shared" si="22"/>
        <v>1189</v>
      </c>
      <c r="I41" s="318">
        <f t="shared" si="22"/>
        <v>1100</v>
      </c>
      <c r="J41" s="318">
        <f t="shared" si="22"/>
        <v>843</v>
      </c>
      <c r="K41" s="318">
        <f t="shared" si="22"/>
        <v>1013</v>
      </c>
      <c r="L41" s="318">
        <f t="shared" si="22"/>
        <v>719</v>
      </c>
    </row>
    <row r="42" spans="1:12" ht="17.100000000000001" customHeight="1">
      <c r="A42" s="32" t="s">
        <v>13</v>
      </c>
      <c r="B42" s="61" t="s">
        <v>14</v>
      </c>
      <c r="C42" s="318"/>
      <c r="D42" s="14"/>
      <c r="E42" s="14"/>
      <c r="F42" s="14"/>
      <c r="G42" s="14"/>
      <c r="H42" s="14"/>
      <c r="I42" s="14"/>
      <c r="J42" s="14"/>
      <c r="K42" s="21"/>
      <c r="L42" s="321"/>
    </row>
    <row r="43" spans="1:12" ht="17.100000000000001" customHeight="1">
      <c r="A43" s="32" t="s">
        <v>15</v>
      </c>
      <c r="B43" s="62" t="s">
        <v>16</v>
      </c>
      <c r="C43" s="318"/>
      <c r="D43" s="14"/>
      <c r="E43" s="14"/>
      <c r="F43" s="14"/>
      <c r="G43" s="14"/>
      <c r="H43" s="14"/>
      <c r="I43" s="14"/>
      <c r="J43" s="14"/>
      <c r="K43" s="21"/>
      <c r="L43" s="321"/>
    </row>
    <row r="44" spans="1:12" ht="17.100000000000001" customHeight="1" thickBot="1">
      <c r="A44" s="81" t="s">
        <v>17</v>
      </c>
      <c r="B44" s="82" t="s">
        <v>18</v>
      </c>
      <c r="C44" s="319">
        <v>1320846.45</v>
      </c>
      <c r="D44" s="319">
        <f t="shared" ref="D44:K44" si="23">+D40+D41</f>
        <v>2641692</v>
      </c>
      <c r="E44" s="319">
        <f t="shared" si="23"/>
        <v>657921</v>
      </c>
      <c r="F44" s="319">
        <f t="shared" si="23"/>
        <v>260166</v>
      </c>
      <c r="G44" s="319">
        <f t="shared" si="23"/>
        <v>1044669</v>
      </c>
      <c r="H44" s="319">
        <f t="shared" si="23"/>
        <v>1856189</v>
      </c>
      <c r="I44" s="319">
        <f t="shared" si="23"/>
        <v>1717100</v>
      </c>
      <c r="J44" s="319">
        <f t="shared" si="23"/>
        <v>1315843</v>
      </c>
      <c r="K44" s="319">
        <f t="shared" si="23"/>
        <v>1581013</v>
      </c>
      <c r="L44" s="322">
        <f t="shared" ref="L44" si="24">+L40+L41</f>
        <v>1122969</v>
      </c>
    </row>
    <row r="45" spans="1:12" ht="17.100000000000001" customHeight="1">
      <c r="A45" s="98" t="s">
        <v>19</v>
      </c>
      <c r="B45" s="99" t="s">
        <v>20</v>
      </c>
      <c r="C45" s="86">
        <v>23468016</v>
      </c>
      <c r="D45" s="86">
        <f>+C45+D44</f>
        <v>26109708</v>
      </c>
      <c r="E45" s="86">
        <f>+D45+E44</f>
        <v>26767629</v>
      </c>
      <c r="F45" s="86">
        <f t="shared" ref="F45" si="25">+E45+F44</f>
        <v>27027795</v>
      </c>
      <c r="G45" s="86">
        <f t="shared" ref="G45:H45" si="26">+F45+G44</f>
        <v>28072464</v>
      </c>
      <c r="H45" s="86">
        <f t="shared" si="26"/>
        <v>29928653</v>
      </c>
      <c r="I45" s="86">
        <f t="shared" ref="I45" si="27">+H45+I44</f>
        <v>31645753</v>
      </c>
      <c r="J45" s="86">
        <f t="shared" ref="J45:L45" si="28">+I45+J44</f>
        <v>32961596</v>
      </c>
      <c r="K45" s="86">
        <f t="shared" si="28"/>
        <v>34542609</v>
      </c>
      <c r="L45" s="310">
        <f t="shared" si="28"/>
        <v>35665578</v>
      </c>
    </row>
    <row r="46" spans="1:12" ht="17.100000000000001" customHeight="1">
      <c r="A46" s="6" t="s">
        <v>21</v>
      </c>
      <c r="B46" s="18" t="s">
        <v>22</v>
      </c>
      <c r="C46" s="37">
        <v>2783.6166219264005</v>
      </c>
      <c r="D46" s="37">
        <f>+C46+D39</f>
        <v>2983.6166219264005</v>
      </c>
      <c r="E46" s="37">
        <f t="shared" ref="E46" si="29">+D46+E39</f>
        <v>3033.6166219264005</v>
      </c>
      <c r="F46" s="37">
        <f t="shared" ref="F46:H46" si="30">+E46+F39</f>
        <v>3053.6166219264005</v>
      </c>
      <c r="G46" s="36">
        <f>+F46+G39-0.002</f>
        <v>3133.6146219264006</v>
      </c>
      <c r="H46" s="36">
        <f t="shared" si="30"/>
        <v>3273.6146219264006</v>
      </c>
      <c r="I46" s="36">
        <f>+H46+I39</f>
        <v>3403.6146219264006</v>
      </c>
      <c r="J46" s="36">
        <f t="shared" ref="J46:L46" si="31">+I46+J39</f>
        <v>3503.6146219264006</v>
      </c>
      <c r="K46" s="36">
        <f t="shared" si="31"/>
        <v>3603.6146219264006</v>
      </c>
      <c r="L46" s="311">
        <f t="shared" si="31"/>
        <v>3670.6146219264006</v>
      </c>
    </row>
    <row r="47" spans="1:12" ht="17.100000000000001" customHeight="1">
      <c r="A47" s="6" t="s">
        <v>23</v>
      </c>
      <c r="B47" s="7" t="s">
        <v>24</v>
      </c>
      <c r="C47" s="20">
        <v>8.4309221178456788</v>
      </c>
      <c r="D47" s="20">
        <f t="shared" ref="D47:J47" si="32">+D45/D46/1000</f>
        <v>8.75102645833298</v>
      </c>
      <c r="E47" s="20">
        <f t="shared" si="32"/>
        <v>8.823669018203784</v>
      </c>
      <c r="F47" s="20">
        <f t="shared" si="32"/>
        <v>8.851076721919755</v>
      </c>
      <c r="G47" s="20">
        <f t="shared" si="32"/>
        <v>8.9584927909043124</v>
      </c>
      <c r="H47" s="34">
        <f t="shared" si="32"/>
        <v>9.1423873780194995</v>
      </c>
      <c r="I47" s="34">
        <f t="shared" si="32"/>
        <v>9.2976898136866399</v>
      </c>
      <c r="J47" s="20">
        <f t="shared" si="32"/>
        <v>9.4078828743660896</v>
      </c>
      <c r="K47" s="20">
        <f t="shared" ref="K47" si="33">+K45/K46/1000</f>
        <v>9.5855446888864044</v>
      </c>
      <c r="L47" s="312">
        <f t="shared" ref="L47" si="34">+L45/L46/1000</f>
        <v>9.7165139012283728</v>
      </c>
    </row>
    <row r="48" spans="1:12" ht="17.100000000000001" customHeight="1">
      <c r="A48" s="6" t="s">
        <v>25</v>
      </c>
      <c r="B48" s="7" t="s">
        <v>26</v>
      </c>
      <c r="C48" s="6"/>
      <c r="D48" s="6"/>
      <c r="E48" s="6"/>
      <c r="F48" s="21"/>
      <c r="G48" s="6"/>
      <c r="H48" s="6"/>
      <c r="I48" s="6"/>
      <c r="J48" s="6"/>
      <c r="K48" s="6"/>
      <c r="L48" s="309"/>
    </row>
    <row r="49" spans="1:12" ht="17.100000000000001" customHeight="1">
      <c r="A49" s="6" t="s">
        <v>27</v>
      </c>
      <c r="B49" s="7" t="s">
        <v>28</v>
      </c>
      <c r="C49" s="10"/>
      <c r="D49" s="6"/>
      <c r="E49" s="6"/>
      <c r="F49" s="11"/>
      <c r="G49" s="6"/>
      <c r="H49" s="6"/>
      <c r="I49" s="6"/>
      <c r="J49" s="22"/>
      <c r="K49" s="6"/>
      <c r="L49" s="309"/>
    </row>
    <row r="50" spans="1:12" ht="17.100000000000001" customHeight="1">
      <c r="A50" s="6" t="s">
        <v>29</v>
      </c>
      <c r="B50" s="7" t="s">
        <v>30</v>
      </c>
      <c r="C50" s="6"/>
      <c r="D50" s="6"/>
      <c r="E50" s="6"/>
      <c r="F50" s="11"/>
      <c r="G50" s="6"/>
      <c r="H50" s="6"/>
      <c r="I50" s="6"/>
      <c r="J50" s="23"/>
      <c r="K50" s="6"/>
      <c r="L50" s="315">
        <v>1.1499999999999999</v>
      </c>
    </row>
    <row r="51" spans="1:12" ht="6.6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313"/>
    </row>
    <row r="52" spans="1:12" ht="17.100000000000001" customHeight="1">
      <c r="A52" s="438" t="s">
        <v>32</v>
      </c>
      <c r="B52" s="439"/>
      <c r="C52" s="1" t="s">
        <v>591</v>
      </c>
      <c r="D52" s="1" t="s">
        <v>602</v>
      </c>
      <c r="E52" s="1" t="s">
        <v>603</v>
      </c>
      <c r="F52" s="1" t="s">
        <v>88</v>
      </c>
      <c r="G52" s="1" t="s">
        <v>660</v>
      </c>
      <c r="H52" s="1" t="s">
        <v>663</v>
      </c>
      <c r="I52" s="1" t="s">
        <v>664</v>
      </c>
      <c r="J52" s="1" t="s">
        <v>668</v>
      </c>
      <c r="K52" s="1" t="s">
        <v>669</v>
      </c>
      <c r="L52" s="1" t="s">
        <v>674</v>
      </c>
    </row>
    <row r="53" spans="1:12" ht="17.100000000000001" customHeight="1">
      <c r="A53" s="3" t="s">
        <v>0</v>
      </c>
      <c r="B53" s="4" t="s">
        <v>1</v>
      </c>
      <c r="C53" s="307" t="s">
        <v>449</v>
      </c>
      <c r="D53" s="1" t="s">
        <v>604</v>
      </c>
      <c r="E53" s="1" t="s">
        <v>604</v>
      </c>
      <c r="F53" s="1" t="s">
        <v>449</v>
      </c>
      <c r="G53" s="1" t="s">
        <v>661</v>
      </c>
      <c r="H53" s="1" t="s">
        <v>665</v>
      </c>
      <c r="I53" s="1" t="s">
        <v>665</v>
      </c>
      <c r="J53" s="1" t="s">
        <v>670</v>
      </c>
      <c r="K53" s="1" t="s">
        <v>670</v>
      </c>
      <c r="L53" s="1" t="s">
        <v>675</v>
      </c>
    </row>
    <row r="54" spans="1:12" ht="17.100000000000001" customHeight="1">
      <c r="A54" s="6" t="s">
        <v>3</v>
      </c>
      <c r="B54" s="7" t="s">
        <v>4</v>
      </c>
      <c r="C54" s="308" t="s">
        <v>589</v>
      </c>
      <c r="D54" s="8" t="s">
        <v>605</v>
      </c>
      <c r="E54" s="8" t="s">
        <v>605</v>
      </c>
      <c r="F54" s="8" t="s">
        <v>653</v>
      </c>
      <c r="G54" s="8" t="s">
        <v>662</v>
      </c>
      <c r="H54" s="8" t="s">
        <v>666</v>
      </c>
      <c r="I54" s="8" t="s">
        <v>666</v>
      </c>
      <c r="J54" s="8" t="s">
        <v>671</v>
      </c>
      <c r="K54" s="8" t="s">
        <v>671</v>
      </c>
      <c r="L54" s="8" t="s">
        <v>676</v>
      </c>
    </row>
    <row r="55" spans="1:12" ht="17.100000000000001" customHeight="1">
      <c r="A55" s="6" t="s">
        <v>5</v>
      </c>
      <c r="B55" s="7" t="s">
        <v>6</v>
      </c>
      <c r="C55" s="309">
        <v>16.7</v>
      </c>
      <c r="D55" s="46">
        <v>16.75</v>
      </c>
      <c r="E55" s="6">
        <v>16.7</v>
      </c>
      <c r="F55" s="6">
        <v>-0.2</v>
      </c>
      <c r="G55" s="6">
        <v>15.4</v>
      </c>
      <c r="H55" s="6">
        <v>15.6</v>
      </c>
      <c r="I55" s="6">
        <v>15.55</v>
      </c>
      <c r="J55" s="6">
        <v>15.6</v>
      </c>
      <c r="K55" s="6">
        <v>15.55</v>
      </c>
      <c r="L55" s="6">
        <v>15.55</v>
      </c>
    </row>
    <row r="56" spans="1:12" ht="17.100000000000001" customHeight="1" thickBot="1">
      <c r="A56" s="72" t="s">
        <v>7</v>
      </c>
      <c r="B56" s="73" t="s">
        <v>8</v>
      </c>
      <c r="C56" s="316">
        <v>30</v>
      </c>
      <c r="D56" s="102">
        <v>60</v>
      </c>
      <c r="E56" s="102">
        <v>60</v>
      </c>
      <c r="F56" s="110">
        <f>E63</f>
        <v>3820.6146219264006</v>
      </c>
      <c r="G56" s="72">
        <v>50</v>
      </c>
      <c r="H56" s="72">
        <v>30</v>
      </c>
      <c r="I56" s="72">
        <v>30</v>
      </c>
      <c r="J56" s="72">
        <v>90</v>
      </c>
      <c r="K56" s="72">
        <v>60</v>
      </c>
      <c r="L56" s="72">
        <v>200</v>
      </c>
    </row>
    <row r="57" spans="1:12" ht="17.100000000000001" customHeight="1">
      <c r="A57" s="78" t="s">
        <v>9</v>
      </c>
      <c r="B57" s="79" t="s">
        <v>10</v>
      </c>
      <c r="C57" s="317">
        <f>ROUNDDOWN(+C55*C56*1000,0)</f>
        <v>501000</v>
      </c>
      <c r="D57" s="317">
        <f t="shared" ref="D57:E57" si="35">ROUNDDOWN(+D55*D56*1000,0)</f>
        <v>1005000</v>
      </c>
      <c r="E57" s="317">
        <f t="shared" si="35"/>
        <v>1002000</v>
      </c>
      <c r="F57" s="317">
        <f t="shared" ref="F57" si="36">+F55*F56*1000</f>
        <v>-764122.92438528012</v>
      </c>
      <c r="G57" s="317">
        <f>ROUNDDOWN(+G55*G56*1000,0)</f>
        <v>770000</v>
      </c>
      <c r="H57" s="317">
        <f t="shared" ref="H57:L57" si="37">ROUNDDOWN(+H55*H56*1000,0)</f>
        <v>468000</v>
      </c>
      <c r="I57" s="317">
        <f t="shared" si="37"/>
        <v>466500</v>
      </c>
      <c r="J57" s="317">
        <f t="shared" si="37"/>
        <v>1404000</v>
      </c>
      <c r="K57" s="317">
        <f t="shared" si="37"/>
        <v>933000</v>
      </c>
      <c r="L57" s="317">
        <f t="shared" si="37"/>
        <v>3110000</v>
      </c>
    </row>
    <row r="58" spans="1:12" ht="16.5" customHeight="1">
      <c r="A58" s="32" t="s">
        <v>11</v>
      </c>
      <c r="B58" s="61" t="s">
        <v>12</v>
      </c>
      <c r="C58" s="318">
        <f>ROUNDDOWN(+C57*0.001425*0.45,0)</f>
        <v>321</v>
      </c>
      <c r="D58" s="318">
        <f t="shared" ref="D58:L58" si="38">ROUNDDOWN(+D57*0.001425*0.45,0)</f>
        <v>644</v>
      </c>
      <c r="E58" s="318">
        <f t="shared" si="38"/>
        <v>642</v>
      </c>
      <c r="F58" s="318">
        <v>10</v>
      </c>
      <c r="G58" s="318">
        <f t="shared" si="38"/>
        <v>493</v>
      </c>
      <c r="H58" s="318">
        <f t="shared" si="38"/>
        <v>300</v>
      </c>
      <c r="I58" s="318">
        <f t="shared" si="38"/>
        <v>299</v>
      </c>
      <c r="J58" s="318">
        <f t="shared" si="38"/>
        <v>900</v>
      </c>
      <c r="K58" s="318">
        <f t="shared" si="38"/>
        <v>598</v>
      </c>
      <c r="L58" s="318">
        <f t="shared" si="38"/>
        <v>1994</v>
      </c>
    </row>
    <row r="59" spans="1:12" ht="17.100000000000001" customHeight="1">
      <c r="A59" s="32" t="s">
        <v>13</v>
      </c>
      <c r="B59" s="61" t="s">
        <v>14</v>
      </c>
      <c r="C59" s="318"/>
      <c r="D59" s="14"/>
      <c r="E59" s="14"/>
      <c r="F59" s="14"/>
      <c r="G59" s="14"/>
      <c r="H59" s="14"/>
      <c r="I59" s="14"/>
      <c r="J59" s="14"/>
      <c r="K59" s="14"/>
      <c r="L59" s="14"/>
    </row>
    <row r="60" spans="1:12" ht="17.100000000000001" customHeight="1">
      <c r="A60" s="32" t="s">
        <v>15</v>
      </c>
      <c r="B60" s="62" t="s">
        <v>16</v>
      </c>
      <c r="C60" s="318"/>
      <c r="D60" s="14"/>
      <c r="E60" s="14"/>
      <c r="F60" s="14"/>
      <c r="G60" s="14"/>
      <c r="H60" s="14"/>
      <c r="I60" s="14"/>
      <c r="J60" s="14"/>
      <c r="K60" s="14"/>
      <c r="L60" s="14"/>
    </row>
    <row r="61" spans="1:12" ht="17.100000000000001" customHeight="1" thickBot="1">
      <c r="A61" s="81" t="s">
        <v>17</v>
      </c>
      <c r="B61" s="82" t="s">
        <v>18</v>
      </c>
      <c r="C61" s="319">
        <f>+C57+C58+C59+C60</f>
        <v>501321</v>
      </c>
      <c r="D61" s="319">
        <f>SUM(D57:D60)</f>
        <v>1005644</v>
      </c>
      <c r="E61" s="319">
        <f>SUM(E57:E60)</f>
        <v>1002642</v>
      </c>
      <c r="F61" s="320">
        <f t="shared" ref="F61" si="39">SUM(F57:F60)</f>
        <v>-764112.92438528012</v>
      </c>
      <c r="G61" s="320">
        <f t="shared" ref="G61:H61" si="40">SUM(G57:G60)</f>
        <v>770493</v>
      </c>
      <c r="H61" s="320">
        <f t="shared" si="40"/>
        <v>468300</v>
      </c>
      <c r="I61" s="320">
        <f t="shared" ref="I61:K61" si="41">SUM(I57:I60)</f>
        <v>466799</v>
      </c>
      <c r="J61" s="320">
        <f t="shared" si="41"/>
        <v>1404900</v>
      </c>
      <c r="K61" s="320">
        <f t="shared" si="41"/>
        <v>933598</v>
      </c>
      <c r="L61" s="320">
        <f t="shared" ref="L61" si="42">SUM(L57:L60)</f>
        <v>3111994</v>
      </c>
    </row>
    <row r="62" spans="1:12" ht="17.100000000000001" customHeight="1">
      <c r="A62" s="98" t="s">
        <v>19</v>
      </c>
      <c r="B62" s="99" t="s">
        <v>20</v>
      </c>
      <c r="C62" s="86">
        <f>+L45+C61</f>
        <v>36166899</v>
      </c>
      <c r="D62" s="86">
        <f>C62+D61</f>
        <v>37172543</v>
      </c>
      <c r="E62" s="86">
        <f>D62+E61</f>
        <v>38175185</v>
      </c>
      <c r="F62" s="86">
        <f t="shared" ref="F62" si="43">+E62+F61</f>
        <v>37411072.075614721</v>
      </c>
      <c r="G62" s="86">
        <f>F62+G61</f>
        <v>38181565.075614721</v>
      </c>
      <c r="H62" s="86">
        <f t="shared" ref="H62:I62" si="44">G62+H61</f>
        <v>38649865.075614721</v>
      </c>
      <c r="I62" s="86">
        <f t="shared" si="44"/>
        <v>39116664.075614721</v>
      </c>
      <c r="J62" s="86">
        <f t="shared" ref="J62" si="45">I62+J61</f>
        <v>40521564.075614721</v>
      </c>
      <c r="K62" s="86">
        <f t="shared" ref="K62:L62" si="46">J62+K61</f>
        <v>41455162.075614721</v>
      </c>
      <c r="L62" s="86">
        <f t="shared" si="46"/>
        <v>44567156.075614721</v>
      </c>
    </row>
    <row r="63" spans="1:12" ht="17.100000000000001" customHeight="1">
      <c r="A63" s="6" t="s">
        <v>21</v>
      </c>
      <c r="B63" s="18" t="s">
        <v>22</v>
      </c>
      <c r="C63" s="36">
        <f>+L46+C56</f>
        <v>3700.6146219264006</v>
      </c>
      <c r="D63" s="36">
        <f>C63+D56</f>
        <v>3760.6146219264006</v>
      </c>
      <c r="E63" s="36">
        <f>D63+E56</f>
        <v>3820.6146219264006</v>
      </c>
      <c r="F63" s="20">
        <f>E63+E63*F67/10</f>
        <v>4259.9853034479365</v>
      </c>
      <c r="G63" s="39">
        <f>F63+G56</f>
        <v>4309.9853034479365</v>
      </c>
      <c r="H63" s="39">
        <f t="shared" ref="H63:I63" si="47">G63+H56</f>
        <v>4339.9853034479365</v>
      </c>
      <c r="I63" s="39">
        <f t="shared" si="47"/>
        <v>4369.9853034479365</v>
      </c>
      <c r="J63" s="39">
        <f t="shared" ref="J63" si="48">I63+J56</f>
        <v>4459.9853034479365</v>
      </c>
      <c r="K63" s="39">
        <f t="shared" ref="K63:L63" si="49">J63+K56</f>
        <v>4519.9853034479365</v>
      </c>
      <c r="L63" s="39">
        <f t="shared" si="49"/>
        <v>4719.9853034479365</v>
      </c>
    </row>
    <row r="64" spans="1:12" ht="17.100000000000001" customHeight="1">
      <c r="A64" s="6" t="s">
        <v>23</v>
      </c>
      <c r="B64" s="7" t="s">
        <v>24</v>
      </c>
      <c r="C64" s="312">
        <f t="shared" ref="C64:E64" si="50">+C62/C63/1000</f>
        <v>9.7732140995467596</v>
      </c>
      <c r="D64" s="312">
        <f t="shared" si="50"/>
        <v>9.884698842381809</v>
      </c>
      <c r="E64" s="312">
        <f t="shared" si="50"/>
        <v>9.9918962726346905</v>
      </c>
      <c r="F64" s="34">
        <f>+F62/F63/1000</f>
        <v>8.7819720986678149</v>
      </c>
      <c r="G64" s="44">
        <f t="shared" ref="G64:I64" si="51">+G62/G63/1000</f>
        <v>8.8588620116801611</v>
      </c>
      <c r="H64" s="44">
        <f t="shared" si="51"/>
        <v>8.9055290221625913</v>
      </c>
      <c r="I64" s="44">
        <f t="shared" si="51"/>
        <v>8.9512118140881416</v>
      </c>
      <c r="J64" s="44">
        <f t="shared" ref="J64:K64" si="52">+J62/J63/1000</f>
        <v>9.0855824220515284</v>
      </c>
      <c r="K64" s="44">
        <f t="shared" si="52"/>
        <v>9.1715258551818479</v>
      </c>
      <c r="L64" s="44">
        <f t="shared" ref="L64" si="53">+L62/L63/1000</f>
        <v>9.442223483844014</v>
      </c>
    </row>
    <row r="65" spans="1:12" ht="17.100000000000001" customHeight="1">
      <c r="A65" s="6" t="s">
        <v>25</v>
      </c>
      <c r="B65" s="7" t="s">
        <v>26</v>
      </c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ht="17.100000000000001" customHeight="1">
      <c r="A66" s="6" t="s">
        <v>27</v>
      </c>
      <c r="B66" s="7" t="s">
        <v>28</v>
      </c>
      <c r="C66" s="29"/>
      <c r="D66" s="46"/>
      <c r="E66" s="6"/>
      <c r="F66" s="59">
        <v>0.2</v>
      </c>
      <c r="G66" s="6"/>
      <c r="H66" s="6"/>
      <c r="I66" s="6"/>
      <c r="J66" s="59"/>
      <c r="K66" s="6"/>
      <c r="L66" s="6"/>
    </row>
    <row r="67" spans="1:12" ht="17.100000000000001" customHeight="1">
      <c r="A67" s="6" t="s">
        <v>29</v>
      </c>
      <c r="B67" s="7" t="s">
        <v>30</v>
      </c>
      <c r="C67" s="6"/>
      <c r="D67" s="46"/>
      <c r="E67" s="6"/>
      <c r="F67" s="111">
        <v>1.1499999999999999</v>
      </c>
      <c r="G67" s="6"/>
      <c r="H67" s="6"/>
      <c r="I67" s="6"/>
      <c r="J67" s="111"/>
      <c r="K67" s="6"/>
      <c r="L67" s="6"/>
    </row>
    <row r="68" spans="1:12">
      <c r="A68" s="24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313"/>
    </row>
    <row r="69" spans="1:12">
      <c r="A69" s="438" t="s">
        <v>32</v>
      </c>
      <c r="B69" s="439"/>
      <c r="C69" s="1" t="s">
        <v>677</v>
      </c>
      <c r="D69" s="1" t="s">
        <v>678</v>
      </c>
      <c r="E69" s="1" t="s">
        <v>682</v>
      </c>
      <c r="F69" s="1" t="s">
        <v>683</v>
      </c>
      <c r="G69" s="1" t="s">
        <v>686</v>
      </c>
      <c r="H69" s="1" t="s">
        <v>687</v>
      </c>
      <c r="I69" s="1"/>
      <c r="J69" s="1"/>
      <c r="K69" s="1"/>
      <c r="L69" s="1"/>
    </row>
    <row r="70" spans="1:12">
      <c r="A70" s="3" t="s">
        <v>0</v>
      </c>
      <c r="B70" s="4" t="s">
        <v>1</v>
      </c>
      <c r="C70" s="1" t="s">
        <v>449</v>
      </c>
      <c r="D70" s="1" t="s">
        <v>680</v>
      </c>
      <c r="E70" s="1" t="s">
        <v>684</v>
      </c>
      <c r="F70" s="1" t="s">
        <v>449</v>
      </c>
      <c r="G70" s="1" t="s">
        <v>449</v>
      </c>
      <c r="H70" s="1" t="s">
        <v>688</v>
      </c>
      <c r="I70" s="1"/>
      <c r="J70" s="1"/>
      <c r="K70" s="1"/>
      <c r="L70" s="1"/>
    </row>
    <row r="71" spans="1:12">
      <c r="A71" s="6" t="s">
        <v>3</v>
      </c>
      <c r="B71" s="7" t="s">
        <v>4</v>
      </c>
      <c r="C71" s="8" t="s">
        <v>679</v>
      </c>
      <c r="D71" s="8" t="s">
        <v>681</v>
      </c>
      <c r="E71" s="8" t="s">
        <v>685</v>
      </c>
      <c r="F71" s="8" t="s">
        <v>685</v>
      </c>
      <c r="G71" s="8" t="s">
        <v>685</v>
      </c>
      <c r="H71" s="8" t="s">
        <v>689</v>
      </c>
      <c r="I71" s="8"/>
      <c r="J71" s="8"/>
      <c r="K71" s="8"/>
      <c r="L71" s="8"/>
    </row>
    <row r="72" spans="1:12">
      <c r="A72" s="6" t="s">
        <v>5</v>
      </c>
      <c r="B72" s="7" t="s">
        <v>6</v>
      </c>
      <c r="C72" s="6">
        <v>15.45</v>
      </c>
      <c r="D72" s="6">
        <v>15.4</v>
      </c>
      <c r="E72" s="6">
        <v>15.2</v>
      </c>
      <c r="F72" s="6">
        <v>15.15</v>
      </c>
      <c r="G72" s="6">
        <v>15.1</v>
      </c>
      <c r="H72" s="6">
        <v>14.8</v>
      </c>
      <c r="I72" s="6"/>
      <c r="J72" s="6"/>
      <c r="K72" s="6"/>
      <c r="L72" s="6"/>
    </row>
    <row r="73" spans="1:12" ht="17.25" thickBot="1">
      <c r="A73" s="72" t="s">
        <v>7</v>
      </c>
      <c r="B73" s="73" t="s">
        <v>8</v>
      </c>
      <c r="C73" s="72">
        <v>30</v>
      </c>
      <c r="D73" s="72">
        <v>90</v>
      </c>
      <c r="E73" s="72">
        <v>100</v>
      </c>
      <c r="F73" s="72">
        <v>100</v>
      </c>
      <c r="G73" s="72">
        <v>39</v>
      </c>
      <c r="H73" s="72">
        <v>100</v>
      </c>
      <c r="I73" s="72"/>
      <c r="J73" s="72"/>
      <c r="K73" s="72"/>
      <c r="L73" s="72"/>
    </row>
    <row r="74" spans="1:12">
      <c r="A74" s="78" t="s">
        <v>9</v>
      </c>
      <c r="B74" s="79" t="s">
        <v>10</v>
      </c>
      <c r="C74" s="317">
        <f>ROUNDDOWN(+C72*C73*1000,0)</f>
        <v>463500</v>
      </c>
      <c r="D74" s="317">
        <f t="shared" ref="D74:H74" si="54">ROUNDDOWN(+D72*D73*1000,0)</f>
        <v>1386000</v>
      </c>
      <c r="E74" s="317">
        <f t="shared" si="54"/>
        <v>1520000</v>
      </c>
      <c r="F74" s="317">
        <f t="shared" si="54"/>
        <v>1515000</v>
      </c>
      <c r="G74" s="317">
        <f t="shared" si="54"/>
        <v>588900</v>
      </c>
      <c r="H74" s="317">
        <f t="shared" si="54"/>
        <v>1480000</v>
      </c>
      <c r="I74" s="317"/>
      <c r="J74" s="317"/>
      <c r="K74" s="317"/>
      <c r="L74" s="317"/>
    </row>
    <row r="75" spans="1:12">
      <c r="A75" s="32" t="s">
        <v>11</v>
      </c>
      <c r="B75" s="61" t="s">
        <v>12</v>
      </c>
      <c r="C75" s="318">
        <f>ROUNDDOWN(+C74*0.001425*0.45,0)</f>
        <v>297</v>
      </c>
      <c r="D75" s="318">
        <f t="shared" ref="D75:H75" si="55">ROUNDDOWN(+D74*0.001425*0.45,0)</f>
        <v>888</v>
      </c>
      <c r="E75" s="318">
        <f t="shared" si="55"/>
        <v>974</v>
      </c>
      <c r="F75" s="318">
        <f t="shared" si="55"/>
        <v>971</v>
      </c>
      <c r="G75" s="318">
        <f t="shared" si="55"/>
        <v>377</v>
      </c>
      <c r="H75" s="318">
        <f t="shared" si="55"/>
        <v>949</v>
      </c>
      <c r="I75" s="318"/>
      <c r="J75" s="318"/>
      <c r="K75" s="318"/>
      <c r="L75" s="318"/>
    </row>
    <row r="76" spans="1:12">
      <c r="A76" s="32" t="s">
        <v>13</v>
      </c>
      <c r="B76" s="61" t="s">
        <v>14</v>
      </c>
      <c r="C76" s="14"/>
      <c r="D76" s="14"/>
      <c r="E76" s="14"/>
      <c r="F76" s="14"/>
      <c r="G76" s="14"/>
      <c r="H76" s="14"/>
      <c r="I76" s="14"/>
      <c r="J76" s="14"/>
      <c r="K76" s="21"/>
      <c r="L76" s="21"/>
    </row>
    <row r="77" spans="1:12">
      <c r="A77" s="32" t="s">
        <v>15</v>
      </c>
      <c r="B77" s="62" t="s">
        <v>16</v>
      </c>
      <c r="C77" s="14"/>
      <c r="D77" s="14"/>
      <c r="E77" s="14"/>
      <c r="F77" s="14"/>
      <c r="G77" s="14"/>
      <c r="H77" s="14"/>
      <c r="I77" s="14"/>
      <c r="J77" s="14"/>
      <c r="K77" s="21"/>
      <c r="L77" s="21"/>
    </row>
    <row r="78" spans="1:12" ht="17.25" thickBot="1">
      <c r="A78" s="81" t="s">
        <v>17</v>
      </c>
      <c r="B78" s="82" t="s">
        <v>18</v>
      </c>
      <c r="C78" s="320">
        <f t="shared" ref="C78:D78" si="56">SUM(C74:C77)</f>
        <v>463797</v>
      </c>
      <c r="D78" s="320">
        <f t="shared" si="56"/>
        <v>1386888</v>
      </c>
      <c r="E78" s="320">
        <f t="shared" ref="E78:F78" si="57">SUM(E74:E77)</f>
        <v>1520974</v>
      </c>
      <c r="F78" s="320">
        <f t="shared" si="57"/>
        <v>1515971</v>
      </c>
      <c r="G78" s="320">
        <f t="shared" ref="G78:H78" si="58">SUM(G74:G77)</f>
        <v>589277</v>
      </c>
      <c r="H78" s="320">
        <f t="shared" si="58"/>
        <v>1480949</v>
      </c>
      <c r="I78" s="320"/>
      <c r="J78" s="320"/>
      <c r="K78" s="319"/>
      <c r="L78" s="319"/>
    </row>
    <row r="79" spans="1:12">
      <c r="A79" s="98" t="s">
        <v>19</v>
      </c>
      <c r="B79" s="99" t="s">
        <v>20</v>
      </c>
      <c r="C79" s="86">
        <f>L62+C78</f>
        <v>45030953.075614721</v>
      </c>
      <c r="D79" s="86">
        <f>C79+D78</f>
        <v>46417841.075614721</v>
      </c>
      <c r="E79" s="86">
        <f t="shared" ref="E79:H79" si="59">D79+E78</f>
        <v>47938815.075614721</v>
      </c>
      <c r="F79" s="86">
        <f t="shared" si="59"/>
        <v>49454786.075614721</v>
      </c>
      <c r="G79" s="86">
        <f t="shared" si="59"/>
        <v>50044063.075614721</v>
      </c>
      <c r="H79" s="86">
        <f t="shared" si="59"/>
        <v>51525012.075614721</v>
      </c>
      <c r="I79" s="86"/>
      <c r="J79" s="86"/>
      <c r="K79" s="86"/>
      <c r="L79" s="86"/>
    </row>
    <row r="80" spans="1:12">
      <c r="A80" s="6" t="s">
        <v>21</v>
      </c>
      <c r="B80" s="18" t="s">
        <v>22</v>
      </c>
      <c r="C80" s="39">
        <f>L63+C73</f>
        <v>4749.9853034479365</v>
      </c>
      <c r="D80" s="39">
        <f>C80+D73</f>
        <v>4839.9853034479365</v>
      </c>
      <c r="E80" s="39">
        <f t="shared" ref="E80:H80" si="60">D80+E73</f>
        <v>4939.9853034479365</v>
      </c>
      <c r="F80" s="39">
        <f t="shared" si="60"/>
        <v>5039.9853034479365</v>
      </c>
      <c r="G80" s="39">
        <f t="shared" si="60"/>
        <v>5078.9853034479365</v>
      </c>
      <c r="H80" s="39">
        <f t="shared" si="60"/>
        <v>5178.9853034479365</v>
      </c>
      <c r="I80" s="39"/>
      <c r="J80" s="64"/>
      <c r="K80" s="23"/>
      <c r="L80" s="23"/>
    </row>
    <row r="81" spans="1:12">
      <c r="A81" s="6" t="s">
        <v>23</v>
      </c>
      <c r="B81" s="7" t="s">
        <v>24</v>
      </c>
      <c r="C81" s="44">
        <f t="shared" ref="C81:D81" si="61">+C79/C80/1000</f>
        <v>9.4802299794333038</v>
      </c>
      <c r="D81" s="44">
        <f t="shared" si="61"/>
        <v>9.5904921534673484</v>
      </c>
      <c r="E81" s="44">
        <f t="shared" ref="E81:F81" si="62">+E79/E80/1000</f>
        <v>9.7042424482832175</v>
      </c>
      <c r="F81" s="44">
        <f t="shared" si="62"/>
        <v>9.8124861677239199</v>
      </c>
      <c r="G81" s="44">
        <f t="shared" ref="G81:H81" si="63">+G79/G80/1000</f>
        <v>9.8531616229804087</v>
      </c>
      <c r="H81" s="44">
        <f t="shared" si="63"/>
        <v>9.9488623845508268</v>
      </c>
      <c r="I81" s="44"/>
      <c r="J81" s="34"/>
      <c r="K81" s="34"/>
      <c r="L81" s="34"/>
    </row>
    <row r="82" spans="1:12">
      <c r="A82" s="6" t="s">
        <v>25</v>
      </c>
      <c r="B82" s="7" t="s">
        <v>26</v>
      </c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6" t="s">
        <v>27</v>
      </c>
      <c r="B83" s="7" t="s">
        <v>28</v>
      </c>
      <c r="C83" s="6"/>
      <c r="D83" s="46"/>
      <c r="E83" s="6"/>
      <c r="F83" s="59"/>
      <c r="G83" s="6"/>
      <c r="H83" s="6"/>
      <c r="I83" s="6"/>
      <c r="J83" s="59"/>
      <c r="K83" s="6"/>
      <c r="L83" s="6"/>
    </row>
    <row r="84" spans="1:12">
      <c r="A84" s="6" t="s">
        <v>29</v>
      </c>
      <c r="B84" s="7" t="s">
        <v>30</v>
      </c>
      <c r="C84" s="6"/>
      <c r="D84" s="46"/>
      <c r="E84" s="6"/>
      <c r="F84" s="111"/>
      <c r="G84" s="6"/>
      <c r="H84" s="6"/>
      <c r="I84" s="6"/>
      <c r="J84" s="111"/>
      <c r="K84" s="6"/>
      <c r="L84" s="6"/>
    </row>
  </sheetData>
  <mergeCells count="5">
    <mergeCell ref="A1:B1"/>
    <mergeCell ref="A18:B18"/>
    <mergeCell ref="A35:B35"/>
    <mergeCell ref="A52:B52"/>
    <mergeCell ref="A69:B69"/>
  </mergeCells>
  <phoneticPr fontId="1" type="noConversion"/>
  <printOptions horizontalCentered="1"/>
  <pageMargins left="0.70866141732283472" right="0.70866141732283472" top="0.47244094488188981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rowBreaks count="2" manualBreakCount="2">
    <brk id="34" max="16383" man="1"/>
    <brk id="67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3"/>
  <sheetViews>
    <sheetView topLeftCell="A7" zoomScale="115" zoomScaleNormal="115" workbookViewId="0">
      <selection activeCell="F23" sqref="F23"/>
    </sheetView>
  </sheetViews>
  <sheetFormatPr defaultRowHeight="16.5"/>
  <cols>
    <col min="1" max="1" width="4.5" style="28" customWidth="1"/>
    <col min="2" max="2" width="8" customWidth="1"/>
    <col min="3" max="6" width="11.75" customWidth="1"/>
    <col min="7" max="7" width="12.375" customWidth="1"/>
    <col min="8" max="12" width="11.75" customWidth="1"/>
  </cols>
  <sheetData>
    <row r="1" spans="1:12">
      <c r="A1" s="440" t="s">
        <v>331</v>
      </c>
      <c r="B1" s="441"/>
      <c r="C1" s="1" t="s">
        <v>332</v>
      </c>
      <c r="D1" s="1" t="s">
        <v>333</v>
      </c>
      <c r="E1" s="1" t="s">
        <v>334</v>
      </c>
      <c r="F1" s="1" t="s">
        <v>265</v>
      </c>
      <c r="G1" s="1" t="s">
        <v>266</v>
      </c>
      <c r="H1" s="1" t="s">
        <v>267</v>
      </c>
      <c r="I1" s="1" t="s">
        <v>335</v>
      </c>
      <c r="J1" s="1" t="s">
        <v>336</v>
      </c>
      <c r="K1" s="1" t="s">
        <v>337</v>
      </c>
      <c r="L1" s="1" t="s">
        <v>269</v>
      </c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196</v>
      </c>
      <c r="F2" s="1" t="s">
        <v>196</v>
      </c>
      <c r="G2" s="1" t="s">
        <v>196</v>
      </c>
      <c r="H2" s="1" t="s">
        <v>196</v>
      </c>
      <c r="I2" s="1" t="s">
        <v>196</v>
      </c>
      <c r="J2" s="1" t="s">
        <v>338</v>
      </c>
      <c r="K2" s="1" t="s">
        <v>338</v>
      </c>
      <c r="L2" s="1" t="s">
        <v>338</v>
      </c>
    </row>
    <row r="3" spans="1:12">
      <c r="A3" s="6" t="s">
        <v>3</v>
      </c>
      <c r="B3" s="7" t="s">
        <v>4</v>
      </c>
      <c r="C3" s="8" t="s">
        <v>339</v>
      </c>
      <c r="D3" s="8" t="s">
        <v>339</v>
      </c>
      <c r="E3" s="8" t="s">
        <v>339</v>
      </c>
      <c r="F3" s="8" t="s">
        <v>340</v>
      </c>
      <c r="G3" s="8" t="s">
        <v>341</v>
      </c>
      <c r="H3" s="8" t="s">
        <v>342</v>
      </c>
      <c r="I3" s="8" t="s">
        <v>343</v>
      </c>
      <c r="J3" s="8" t="s">
        <v>343</v>
      </c>
      <c r="K3" s="8" t="s">
        <v>344</v>
      </c>
      <c r="L3" s="8">
        <v>45058</v>
      </c>
    </row>
    <row r="4" spans="1:12">
      <c r="A4" s="6" t="s">
        <v>5</v>
      </c>
      <c r="B4" s="7" t="s">
        <v>6</v>
      </c>
      <c r="C4" s="29">
        <v>24.95</v>
      </c>
      <c r="D4" s="29">
        <v>24.9</v>
      </c>
      <c r="E4" s="30">
        <v>24.85</v>
      </c>
      <c r="F4" s="21">
        <v>24.6</v>
      </c>
      <c r="G4" s="30">
        <v>24.25</v>
      </c>
      <c r="H4" s="6">
        <v>24.05</v>
      </c>
      <c r="I4" s="6">
        <v>24.15</v>
      </c>
      <c r="J4" s="6">
        <v>24.1</v>
      </c>
      <c r="K4" s="6">
        <v>20</v>
      </c>
      <c r="L4" s="6">
        <v>25.1</v>
      </c>
    </row>
    <row r="5" spans="1:12" ht="17.25" thickBot="1">
      <c r="A5" s="72" t="s">
        <v>7</v>
      </c>
      <c r="B5" s="73" t="s">
        <v>8</v>
      </c>
      <c r="C5" s="74">
        <v>60</v>
      </c>
      <c r="D5" s="74">
        <v>60</v>
      </c>
      <c r="E5" s="90">
        <v>80</v>
      </c>
      <c r="F5" s="91">
        <v>40</v>
      </c>
      <c r="G5" s="91">
        <v>40</v>
      </c>
      <c r="H5" s="72">
        <v>40</v>
      </c>
      <c r="I5" s="102">
        <v>40</v>
      </c>
      <c r="J5" s="72">
        <v>40</v>
      </c>
      <c r="K5" s="72">
        <v>16.812000000000001</v>
      </c>
      <c r="L5" s="72">
        <v>20</v>
      </c>
    </row>
    <row r="6" spans="1:12">
      <c r="A6" s="78" t="s">
        <v>9</v>
      </c>
      <c r="B6" s="79" t="s">
        <v>10</v>
      </c>
      <c r="C6" s="80">
        <f>+C4*C5*1000</f>
        <v>1497000</v>
      </c>
      <c r="D6" s="80">
        <f t="shared" ref="D6:L6" si="0">+D4*D5*1000</f>
        <v>1494000</v>
      </c>
      <c r="E6" s="80">
        <f t="shared" si="0"/>
        <v>1988000</v>
      </c>
      <c r="F6" s="80">
        <f t="shared" si="0"/>
        <v>984000</v>
      </c>
      <c r="G6" s="80">
        <f t="shared" si="0"/>
        <v>970000</v>
      </c>
      <c r="H6" s="80">
        <f t="shared" si="0"/>
        <v>962000</v>
      </c>
      <c r="I6" s="80">
        <f t="shared" si="0"/>
        <v>966000</v>
      </c>
      <c r="J6" s="80">
        <f t="shared" si="0"/>
        <v>964000</v>
      </c>
      <c r="K6" s="80">
        <f t="shared" si="0"/>
        <v>336240</v>
      </c>
      <c r="L6" s="80">
        <f t="shared" si="0"/>
        <v>502000</v>
      </c>
    </row>
    <row r="7" spans="1:12">
      <c r="A7" s="32" t="s">
        <v>11</v>
      </c>
      <c r="B7" s="61" t="s">
        <v>12</v>
      </c>
      <c r="C7" s="33">
        <f>ROUNDDOWN(+C6*0.001425*0.45,0)</f>
        <v>959</v>
      </c>
      <c r="D7" s="33">
        <f t="shared" ref="D7:J7" si="1">ROUNDDOWN(+D6*0.001425*0.45,0)</f>
        <v>958</v>
      </c>
      <c r="E7" s="33">
        <f t="shared" si="1"/>
        <v>1274</v>
      </c>
      <c r="F7" s="33">
        <f t="shared" si="1"/>
        <v>630</v>
      </c>
      <c r="G7" s="33">
        <f t="shared" si="1"/>
        <v>622</v>
      </c>
      <c r="H7" s="33">
        <f t="shared" si="1"/>
        <v>616</v>
      </c>
      <c r="I7" s="33">
        <f t="shared" si="1"/>
        <v>619</v>
      </c>
      <c r="J7" s="33">
        <f t="shared" si="1"/>
        <v>618</v>
      </c>
      <c r="K7" s="33">
        <v>0</v>
      </c>
      <c r="L7" s="33">
        <f>ROUNDDOWN(+L6*0.001425*0.45,0)</f>
        <v>321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1497959</v>
      </c>
      <c r="D10" s="83">
        <f t="shared" ref="D10:L10" si="2">+D6+D7</f>
        <v>1494958</v>
      </c>
      <c r="E10" s="83">
        <f t="shared" si="2"/>
        <v>1989274</v>
      </c>
      <c r="F10" s="83">
        <f t="shared" si="2"/>
        <v>984630</v>
      </c>
      <c r="G10" s="83">
        <f t="shared" si="2"/>
        <v>970622</v>
      </c>
      <c r="H10" s="83">
        <f t="shared" si="2"/>
        <v>962616</v>
      </c>
      <c r="I10" s="83">
        <f t="shared" si="2"/>
        <v>966619</v>
      </c>
      <c r="J10" s="83">
        <f t="shared" si="2"/>
        <v>964618</v>
      </c>
      <c r="K10" s="83">
        <f t="shared" si="2"/>
        <v>336240</v>
      </c>
      <c r="L10" s="83">
        <f t="shared" si="2"/>
        <v>502321</v>
      </c>
    </row>
    <row r="11" spans="1:12">
      <c r="A11" s="98" t="s">
        <v>19</v>
      </c>
      <c r="B11" s="99" t="s">
        <v>20</v>
      </c>
      <c r="C11" s="86">
        <f>+C10</f>
        <v>1497959</v>
      </c>
      <c r="D11" s="86">
        <f>+C11+D10</f>
        <v>2992917</v>
      </c>
      <c r="E11" s="86">
        <f t="shared" ref="E11:L11" si="3">+D11+E10</f>
        <v>4982191</v>
      </c>
      <c r="F11" s="86">
        <f t="shared" si="3"/>
        <v>5966821</v>
      </c>
      <c r="G11" s="86">
        <f t="shared" si="3"/>
        <v>6937443</v>
      </c>
      <c r="H11" s="86">
        <f t="shared" si="3"/>
        <v>7900059</v>
      </c>
      <c r="I11" s="86">
        <f t="shared" si="3"/>
        <v>8866678</v>
      </c>
      <c r="J11" s="86">
        <f t="shared" si="3"/>
        <v>9831296</v>
      </c>
      <c r="K11" s="86">
        <f t="shared" si="3"/>
        <v>10167536</v>
      </c>
      <c r="L11" s="86">
        <f t="shared" si="3"/>
        <v>10669857</v>
      </c>
    </row>
    <row r="12" spans="1:12">
      <c r="A12" s="6" t="s">
        <v>21</v>
      </c>
      <c r="B12" s="18" t="s">
        <v>22</v>
      </c>
      <c r="C12" s="19">
        <f>+C5</f>
        <v>60</v>
      </c>
      <c r="D12" s="19">
        <f>+C12+D5</f>
        <v>120</v>
      </c>
      <c r="E12" s="19">
        <f t="shared" ref="E12:H12" si="4">+D12+E5</f>
        <v>200</v>
      </c>
      <c r="F12" s="19">
        <f t="shared" si="4"/>
        <v>240</v>
      </c>
      <c r="G12" s="19">
        <f t="shared" si="4"/>
        <v>280</v>
      </c>
      <c r="H12" s="19">
        <f t="shared" si="4"/>
        <v>320</v>
      </c>
      <c r="I12" s="19">
        <f>I5+H12</f>
        <v>360</v>
      </c>
      <c r="J12" s="19">
        <f t="shared" ref="J12:K12" si="5">J5+I12</f>
        <v>400</v>
      </c>
      <c r="K12" s="36">
        <f t="shared" si="5"/>
        <v>416.81200000000001</v>
      </c>
      <c r="L12" s="36">
        <f t="shared" ref="L12" si="6">L5+K12</f>
        <v>436.81200000000001</v>
      </c>
    </row>
    <row r="13" spans="1:12" ht="15.6" customHeight="1">
      <c r="A13" s="6" t="s">
        <v>23</v>
      </c>
      <c r="B13" s="7" t="s">
        <v>24</v>
      </c>
      <c r="C13" s="20">
        <f>+C11/C12/1000</f>
        <v>24.965983333333334</v>
      </c>
      <c r="D13" s="20">
        <f t="shared" ref="D13:L13" si="7">+D11/D12/1000</f>
        <v>24.940974999999998</v>
      </c>
      <c r="E13" s="20">
        <f t="shared" si="7"/>
        <v>24.910955000000001</v>
      </c>
      <c r="F13" s="20">
        <f t="shared" si="7"/>
        <v>24.861754166666664</v>
      </c>
      <c r="G13" s="20">
        <f t="shared" si="7"/>
        <v>24.776582142857144</v>
      </c>
      <c r="H13" s="20">
        <f t="shared" si="7"/>
        <v>24.687684375</v>
      </c>
      <c r="I13" s="20">
        <f t="shared" si="7"/>
        <v>24.629661111111112</v>
      </c>
      <c r="J13" s="20">
        <f t="shared" si="7"/>
        <v>24.578240000000001</v>
      </c>
      <c r="K13" s="34">
        <f t="shared" si="7"/>
        <v>24.393577920021496</v>
      </c>
      <c r="L13" s="34">
        <f t="shared" si="7"/>
        <v>24.426657234691351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331</v>
      </c>
      <c r="B18" s="441"/>
      <c r="C18" s="1" t="s">
        <v>270</v>
      </c>
      <c r="D18" s="2" t="s">
        <v>271</v>
      </c>
      <c r="E18" s="1" t="s">
        <v>345</v>
      </c>
      <c r="F18" s="1" t="s">
        <v>286</v>
      </c>
      <c r="G18" s="1" t="s">
        <v>580</v>
      </c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 t="s">
        <v>338</v>
      </c>
      <c r="D19" s="2" t="s">
        <v>338</v>
      </c>
      <c r="E19" s="1" t="s">
        <v>338</v>
      </c>
      <c r="F19" s="1" t="s">
        <v>338</v>
      </c>
      <c r="G19" s="1" t="s">
        <v>581</v>
      </c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 t="s">
        <v>346</v>
      </c>
      <c r="D20" s="9" t="s">
        <v>346</v>
      </c>
      <c r="E20" s="9" t="s">
        <v>347</v>
      </c>
      <c r="F20" s="8" t="s">
        <v>348</v>
      </c>
      <c r="G20" s="8" t="s">
        <v>654</v>
      </c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>
        <v>26</v>
      </c>
      <c r="D21" s="11">
        <v>25.95</v>
      </c>
      <c r="E21" s="6">
        <v>25.75</v>
      </c>
      <c r="F21" s="112">
        <v>-0.18940000000000001</v>
      </c>
      <c r="G21" s="6">
        <v>-1.2</v>
      </c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>
        <v>20</v>
      </c>
      <c r="D22" s="85">
        <v>30</v>
      </c>
      <c r="E22" s="72">
        <v>10</v>
      </c>
      <c r="F22" s="106">
        <f>E29</f>
        <v>496.81200000000001</v>
      </c>
      <c r="G22" s="109">
        <f>F29</f>
        <v>515.62900000000002</v>
      </c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>
        <f>+C21*C22*1000</f>
        <v>520000</v>
      </c>
      <c r="D23" s="80">
        <f t="shared" ref="D23:E23" si="8">+D21*D22*1000</f>
        <v>778500</v>
      </c>
      <c r="E23" s="80">
        <f t="shared" si="8"/>
        <v>257500</v>
      </c>
      <c r="F23" s="80">
        <f>+F21*F22*1000+6</f>
        <v>-94090.192800000004</v>
      </c>
      <c r="G23" s="80">
        <v>-618754</v>
      </c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>
        <f>ROUNDDOWN(+C23*0.001425*0.45,0)</f>
        <v>333</v>
      </c>
      <c r="D24" s="33">
        <f t="shared" ref="D24:E24" si="9">ROUNDDOWN(+D23*0.001425*0.45,0)</f>
        <v>499</v>
      </c>
      <c r="E24" s="33">
        <f t="shared" si="9"/>
        <v>165</v>
      </c>
      <c r="F24" s="33">
        <v>10</v>
      </c>
      <c r="G24" s="31">
        <v>10</v>
      </c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+C23+C24</f>
        <v>520333</v>
      </c>
      <c r="D27" s="83">
        <f t="shared" ref="D27:F27" si="10">+D23+D24</f>
        <v>778999</v>
      </c>
      <c r="E27" s="83">
        <f t="shared" si="10"/>
        <v>257665</v>
      </c>
      <c r="F27" s="83">
        <f t="shared" si="10"/>
        <v>-94080.192800000004</v>
      </c>
      <c r="G27" s="83">
        <f t="shared" ref="G27" si="11">+G23+G24</f>
        <v>-618744</v>
      </c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>
        <f>+C27+L11</f>
        <v>11190190</v>
      </c>
      <c r="D28" s="86">
        <f>D27+C28</f>
        <v>11969189</v>
      </c>
      <c r="E28" s="86">
        <f t="shared" ref="E28:G28" si="12">E27+D28</f>
        <v>12226854</v>
      </c>
      <c r="F28" s="86">
        <f t="shared" si="12"/>
        <v>12132773.8072</v>
      </c>
      <c r="G28" s="87">
        <f t="shared" si="12"/>
        <v>11514029.8072</v>
      </c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>
        <f>C22+L12</f>
        <v>456.81200000000001</v>
      </c>
      <c r="D29" s="36">
        <f>D22+C29</f>
        <v>486.81200000000001</v>
      </c>
      <c r="E29" s="36">
        <f>E22+D29</f>
        <v>496.81200000000001</v>
      </c>
      <c r="F29" s="36">
        <v>515.62900000000002</v>
      </c>
      <c r="G29" s="42">
        <v>525.95799999999997</v>
      </c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>
        <f>+C28/C29/1000</f>
        <v>24.496269800267942</v>
      </c>
      <c r="D30" s="20">
        <f t="shared" ref="D30:G30" si="13">+D28/D29/1000</f>
        <v>24.586881588785815</v>
      </c>
      <c r="E30" s="20">
        <f t="shared" si="13"/>
        <v>24.610625347213833</v>
      </c>
      <c r="F30" s="20">
        <f t="shared" si="13"/>
        <v>23.530045453611027</v>
      </c>
      <c r="G30" s="44">
        <f t="shared" si="13"/>
        <v>21.891538501553356</v>
      </c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 t="s">
        <v>349</v>
      </c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4">
        <v>0.18940000000000001</v>
      </c>
      <c r="G32" s="6">
        <v>1.2</v>
      </c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>
        <v>0.37880000000000003</v>
      </c>
      <c r="G33" s="6">
        <v>0.20033197</v>
      </c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31496062992125984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67"/>
  <sheetViews>
    <sheetView zoomScale="115" zoomScaleNormal="115" workbookViewId="0">
      <selection activeCell="N10" sqref="N10"/>
    </sheetView>
  </sheetViews>
  <sheetFormatPr defaultRowHeight="16.5"/>
  <cols>
    <col min="1" max="1" width="4.5" style="28" customWidth="1"/>
    <col min="2" max="2" width="8" customWidth="1"/>
    <col min="3" max="6" width="11.75" customWidth="1"/>
    <col min="7" max="7" width="12.375" customWidth="1"/>
    <col min="8" max="12" width="11.75" customWidth="1"/>
  </cols>
  <sheetData>
    <row r="1" spans="1:12">
      <c r="A1" s="438" t="s">
        <v>129</v>
      </c>
      <c r="B1" s="439"/>
      <c r="C1" s="1" t="s">
        <v>34</v>
      </c>
      <c r="D1" s="1" t="s">
        <v>145</v>
      </c>
      <c r="E1" s="1" t="s">
        <v>146</v>
      </c>
      <c r="F1" s="1" t="s">
        <v>119</v>
      </c>
      <c r="G1" s="1" t="s">
        <v>186</v>
      </c>
      <c r="H1" s="1" t="s">
        <v>228</v>
      </c>
      <c r="I1" s="1" t="s">
        <v>228</v>
      </c>
      <c r="J1" s="1" t="s">
        <v>228</v>
      </c>
      <c r="K1" s="1" t="s">
        <v>228</v>
      </c>
      <c r="L1" s="1" t="s">
        <v>231</v>
      </c>
    </row>
    <row r="2" spans="1:12">
      <c r="A2" s="3" t="s">
        <v>0</v>
      </c>
      <c r="B2" s="4" t="s">
        <v>1</v>
      </c>
      <c r="C2" s="5" t="s">
        <v>91</v>
      </c>
      <c r="D2" s="1" t="s">
        <v>117</v>
      </c>
      <c r="E2" s="1" t="s">
        <v>117</v>
      </c>
      <c r="F2" s="1" t="s">
        <v>130</v>
      </c>
      <c r="G2" s="1" t="s">
        <v>182</v>
      </c>
      <c r="H2" s="1" t="s">
        <v>229</v>
      </c>
      <c r="I2" s="1" t="s">
        <v>229</v>
      </c>
      <c r="J2" s="1" t="s">
        <v>229</v>
      </c>
      <c r="K2" s="1" t="s">
        <v>229</v>
      </c>
      <c r="L2" s="1" t="s">
        <v>232</v>
      </c>
    </row>
    <row r="3" spans="1:12">
      <c r="A3" s="6" t="s">
        <v>92</v>
      </c>
      <c r="B3" s="7" t="s">
        <v>4</v>
      </c>
      <c r="C3" s="8" t="s">
        <v>93</v>
      </c>
      <c r="D3" s="8" t="s">
        <v>118</v>
      </c>
      <c r="E3" s="8" t="s">
        <v>118</v>
      </c>
      <c r="F3" s="8" t="s">
        <v>131</v>
      </c>
      <c r="G3" s="8" t="s">
        <v>188</v>
      </c>
      <c r="H3" s="8">
        <v>45239</v>
      </c>
      <c r="I3" s="8">
        <v>45240</v>
      </c>
      <c r="J3" s="8">
        <v>45240</v>
      </c>
      <c r="K3" s="8">
        <v>45240</v>
      </c>
      <c r="L3" s="8">
        <v>45204</v>
      </c>
    </row>
    <row r="4" spans="1:12">
      <c r="A4" s="6" t="s">
        <v>5</v>
      </c>
      <c r="B4" s="7" t="s">
        <v>94</v>
      </c>
      <c r="C4" s="29">
        <v>14</v>
      </c>
      <c r="D4" s="29">
        <v>14</v>
      </c>
      <c r="E4" s="29">
        <v>13.95</v>
      </c>
      <c r="F4" s="6">
        <v>-0.50838554999999996</v>
      </c>
      <c r="G4" s="66">
        <v>-0.56551766000000003</v>
      </c>
      <c r="H4" s="6">
        <v>13.05</v>
      </c>
      <c r="I4" s="6">
        <v>13.1</v>
      </c>
      <c r="J4" s="6">
        <v>13.15</v>
      </c>
      <c r="K4" s="6">
        <v>13.2</v>
      </c>
      <c r="L4" s="6">
        <v>-0.55521107999999997</v>
      </c>
    </row>
    <row r="5" spans="1:12" ht="17.25" thickBot="1">
      <c r="A5" s="72" t="s">
        <v>7</v>
      </c>
      <c r="B5" s="73" t="s">
        <v>95</v>
      </c>
      <c r="C5" s="74">
        <v>200</v>
      </c>
      <c r="D5" s="74">
        <v>100</v>
      </c>
      <c r="E5" s="74">
        <v>100</v>
      </c>
      <c r="F5" s="72">
        <v>400</v>
      </c>
      <c r="G5" s="72">
        <v>408.31799999999998</v>
      </c>
      <c r="H5" s="72">
        <v>-30</v>
      </c>
      <c r="I5" s="72">
        <v>-30</v>
      </c>
      <c r="J5" s="72">
        <v>-30</v>
      </c>
      <c r="K5" s="72">
        <v>-27</v>
      </c>
      <c r="L5" s="72">
        <v>300.76400000000001</v>
      </c>
    </row>
    <row r="6" spans="1:12">
      <c r="A6" s="78" t="s">
        <v>9</v>
      </c>
      <c r="B6" s="79" t="s">
        <v>96</v>
      </c>
      <c r="C6" s="80">
        <f>+C4*C5*1000</f>
        <v>2800000</v>
      </c>
      <c r="D6" s="80">
        <f t="shared" ref="D6:E6" si="0">+D4*D5*1000</f>
        <v>1400000</v>
      </c>
      <c r="E6" s="80">
        <f t="shared" si="0"/>
        <v>1395000</v>
      </c>
      <c r="F6" s="80">
        <v>-203340</v>
      </c>
      <c r="G6" s="80">
        <f>G5*G4*1000</f>
        <v>-230911.03989588001</v>
      </c>
      <c r="H6" s="80">
        <f t="shared" ref="H6:K6" si="1">+H4*H5*1000</f>
        <v>-391500</v>
      </c>
      <c r="I6" s="80">
        <f t="shared" si="1"/>
        <v>-393000</v>
      </c>
      <c r="J6" s="80">
        <f t="shared" si="1"/>
        <v>-394500</v>
      </c>
      <c r="K6" s="80">
        <f t="shared" si="1"/>
        <v>-356400</v>
      </c>
      <c r="L6" s="80">
        <v>-166988</v>
      </c>
    </row>
    <row r="7" spans="1:12">
      <c r="A7" s="32" t="s">
        <v>11</v>
      </c>
      <c r="B7" s="61" t="s">
        <v>12</v>
      </c>
      <c r="C7" s="33">
        <f>ROUNDDOWN(ABS(C6)*0.001425*0.45,0)</f>
        <v>1795</v>
      </c>
      <c r="D7" s="33">
        <f t="shared" ref="D7:K7" si="2">ROUNDDOWN(ABS(D6)*0.001425*0.45,0)</f>
        <v>897</v>
      </c>
      <c r="E7" s="33">
        <f t="shared" si="2"/>
        <v>894</v>
      </c>
      <c r="F7" s="33">
        <v>10</v>
      </c>
      <c r="G7" s="33">
        <v>10</v>
      </c>
      <c r="H7" s="33">
        <f t="shared" si="2"/>
        <v>251</v>
      </c>
      <c r="I7" s="33">
        <f t="shared" si="2"/>
        <v>252</v>
      </c>
      <c r="J7" s="33">
        <f t="shared" si="2"/>
        <v>252</v>
      </c>
      <c r="K7" s="33">
        <f t="shared" si="2"/>
        <v>228</v>
      </c>
      <c r="L7" s="31">
        <v>10</v>
      </c>
    </row>
    <row r="8" spans="1:12">
      <c r="A8" s="32" t="s">
        <v>13</v>
      </c>
      <c r="B8" s="61" t="s">
        <v>14</v>
      </c>
      <c r="C8" s="33"/>
      <c r="D8" s="31"/>
      <c r="E8" s="31"/>
      <c r="F8" s="31"/>
      <c r="G8" s="31"/>
      <c r="H8" s="40">
        <v>1175</v>
      </c>
      <c r="I8" s="40">
        <v>1179</v>
      </c>
      <c r="J8" s="40">
        <v>1184</v>
      </c>
      <c r="K8" s="40">
        <v>1069</v>
      </c>
      <c r="L8" s="31"/>
    </row>
    <row r="9" spans="1:12">
      <c r="A9" s="32" t="s">
        <v>97</v>
      </c>
      <c r="B9" s="62" t="s">
        <v>98</v>
      </c>
      <c r="C9" s="33"/>
      <c r="D9" s="31"/>
      <c r="E9" s="31"/>
      <c r="F9" s="31"/>
      <c r="G9" s="31"/>
      <c r="H9" s="31"/>
      <c r="I9" s="31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2801795</v>
      </c>
      <c r="D10" s="83">
        <f t="shared" ref="D10" si="3">+D6+D7</f>
        <v>1400897</v>
      </c>
      <c r="E10" s="83">
        <f>+E6+E7</f>
        <v>1395894</v>
      </c>
      <c r="F10" s="83">
        <f>SUM(F6:F9)</f>
        <v>-203330</v>
      </c>
      <c r="G10" s="83">
        <f>SUM(G6:G9)</f>
        <v>-230901.03989588001</v>
      </c>
      <c r="H10" s="83">
        <f>+H6+H7+H8</f>
        <v>-390074</v>
      </c>
      <c r="I10" s="83">
        <f>+I6+I7+I8</f>
        <v>-391569</v>
      </c>
      <c r="J10" s="83">
        <f>+J6+J7+J8</f>
        <v>-393064</v>
      </c>
      <c r="K10" s="83">
        <f>+K6+K7+K8</f>
        <v>-355103</v>
      </c>
      <c r="L10" s="83">
        <v>-166988</v>
      </c>
    </row>
    <row r="11" spans="1:12">
      <c r="A11" s="75" t="s">
        <v>19</v>
      </c>
      <c r="B11" s="76" t="s">
        <v>99</v>
      </c>
      <c r="C11" s="77">
        <f>+C10</f>
        <v>2801795</v>
      </c>
      <c r="D11" s="77">
        <f>+C11+D10</f>
        <v>4202692</v>
      </c>
      <c r="E11" s="77">
        <f>+D11+E10</f>
        <v>5598586</v>
      </c>
      <c r="F11" s="77">
        <f>+E11+F10</f>
        <v>5395256</v>
      </c>
      <c r="G11" s="77">
        <f>F11+G10</f>
        <v>5164354.96010412</v>
      </c>
      <c r="H11" s="77">
        <f>+G11+H10</f>
        <v>4774280.96010412</v>
      </c>
      <c r="I11" s="77">
        <f>+H11+I10</f>
        <v>4382711.96010412</v>
      </c>
      <c r="J11" s="77">
        <f>+I11+J10-1</f>
        <v>3989646.96010412</v>
      </c>
      <c r="K11" s="77">
        <f>+J11+K10</f>
        <v>3634543.96010412</v>
      </c>
      <c r="L11" s="77">
        <f>+K11+L10</f>
        <v>3467555.96010412</v>
      </c>
    </row>
    <row r="12" spans="1:12">
      <c r="A12" s="6" t="s">
        <v>21</v>
      </c>
      <c r="B12" s="18" t="s">
        <v>100</v>
      </c>
      <c r="C12" s="19">
        <f>+C5</f>
        <v>200</v>
      </c>
      <c r="D12" s="19">
        <f>+C12+D5</f>
        <v>300</v>
      </c>
      <c r="E12" s="19">
        <f>+D12+E5</f>
        <v>400</v>
      </c>
      <c r="F12" s="67">
        <f>+E12+E12*F16/10</f>
        <v>408.3184</v>
      </c>
      <c r="G12" s="45">
        <f>+G5+G5*G16/10</f>
        <v>417.76398778019995</v>
      </c>
      <c r="H12" s="36">
        <f>+G12+H5</f>
        <v>387.76398778019995</v>
      </c>
      <c r="I12" s="36">
        <f>+H12+I5</f>
        <v>357.76398778019995</v>
      </c>
      <c r="J12" s="36">
        <f>+I12+J5</f>
        <v>327.76398778019995</v>
      </c>
      <c r="K12" s="36">
        <f>+J12+K5</f>
        <v>300.76398778019995</v>
      </c>
      <c r="L12" s="42">
        <v>314.42599999999999</v>
      </c>
    </row>
    <row r="13" spans="1:12" ht="15.6" customHeight="1">
      <c r="A13" s="6" t="s">
        <v>23</v>
      </c>
      <c r="B13" s="7" t="s">
        <v>101</v>
      </c>
      <c r="C13" s="20">
        <f>+C11/C12/1000</f>
        <v>14.008975</v>
      </c>
      <c r="D13" s="20">
        <f t="shared" ref="D13:H13" si="4">+D11/D12/1000</f>
        <v>14.008973333333333</v>
      </c>
      <c r="E13" s="20">
        <f t="shared" si="4"/>
        <v>13.996465000000001</v>
      </c>
      <c r="F13" s="44">
        <f t="shared" si="4"/>
        <v>13.213355068005752</v>
      </c>
      <c r="G13" s="45">
        <f>G11/G12/1000</f>
        <v>12.361895977547173</v>
      </c>
      <c r="H13" s="20">
        <f t="shared" si="4"/>
        <v>12.3123371704398</v>
      </c>
      <c r="I13" s="20">
        <f t="shared" ref="I13:K13" si="5">+I11/I12/1000</f>
        <v>12.250288206192328</v>
      </c>
      <c r="J13" s="20">
        <f t="shared" si="5"/>
        <v>12.172316388765674</v>
      </c>
      <c r="K13" s="20">
        <f t="shared" si="5"/>
        <v>12.084372158146358</v>
      </c>
      <c r="L13" s="45">
        <f t="shared" ref="L13" si="6">+L11/L12/1000</f>
        <v>11.028210008409356</v>
      </c>
    </row>
    <row r="14" spans="1:12">
      <c r="A14" s="6" t="s">
        <v>102</v>
      </c>
      <c r="B14" s="7" t="s">
        <v>103</v>
      </c>
      <c r="C14" s="6"/>
      <c r="D14" s="6"/>
      <c r="E14" s="6" t="s">
        <v>132</v>
      </c>
      <c r="F14" s="6" t="s">
        <v>133</v>
      </c>
      <c r="G14" s="6" t="s">
        <v>183</v>
      </c>
      <c r="H14" s="6"/>
      <c r="I14" s="6"/>
      <c r="J14" s="6"/>
      <c r="K14" s="6"/>
      <c r="L14" s="6"/>
    </row>
    <row r="15" spans="1:12">
      <c r="A15" s="6" t="s">
        <v>104</v>
      </c>
      <c r="B15" s="7" t="s">
        <v>28</v>
      </c>
      <c r="C15" s="10"/>
      <c r="D15" s="6"/>
      <c r="E15" s="6"/>
      <c r="F15" s="6">
        <v>0.50835010000000003</v>
      </c>
      <c r="G15" s="68">
        <v>0.56549000000000005</v>
      </c>
      <c r="H15" s="6"/>
      <c r="I15" s="6"/>
      <c r="J15" s="6"/>
      <c r="K15" s="6"/>
      <c r="L15" s="22">
        <v>0.55520999999999998</v>
      </c>
    </row>
    <row r="16" spans="1:12">
      <c r="A16" s="6" t="s">
        <v>105</v>
      </c>
      <c r="B16" s="7" t="s">
        <v>106</v>
      </c>
      <c r="C16" s="6"/>
      <c r="D16" s="6"/>
      <c r="E16" s="6"/>
      <c r="F16" s="6">
        <v>0.20796000000000001</v>
      </c>
      <c r="G16" s="69">
        <v>0.23133899999999999</v>
      </c>
      <c r="H16" s="6"/>
      <c r="I16" s="6"/>
      <c r="J16" s="6"/>
      <c r="K16" s="6"/>
      <c r="L16" s="23">
        <v>0.45429999999999998</v>
      </c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90</v>
      </c>
      <c r="B18" s="439"/>
      <c r="C18" s="1" t="s">
        <v>233</v>
      </c>
      <c r="D18" s="2" t="s">
        <v>236</v>
      </c>
      <c r="E18" s="1" t="s">
        <v>237</v>
      </c>
      <c r="F18" s="1" t="s">
        <v>238</v>
      </c>
      <c r="G18" s="1" t="s">
        <v>239</v>
      </c>
      <c r="H18" s="1" t="s">
        <v>240</v>
      </c>
      <c r="I18" s="1" t="s">
        <v>241</v>
      </c>
      <c r="J18" s="1" t="s">
        <v>242</v>
      </c>
      <c r="K18" s="1" t="s">
        <v>231</v>
      </c>
      <c r="L18" s="1"/>
    </row>
    <row r="19" spans="1:12">
      <c r="A19" s="3" t="s">
        <v>107</v>
      </c>
      <c r="B19" s="4" t="s">
        <v>1</v>
      </c>
      <c r="C19" s="5" t="s">
        <v>234</v>
      </c>
      <c r="D19" s="2" t="s">
        <v>234</v>
      </c>
      <c r="E19" s="2" t="s">
        <v>234</v>
      </c>
      <c r="F19" s="2" t="s">
        <v>234</v>
      </c>
      <c r="G19" s="2" t="s">
        <v>234</v>
      </c>
      <c r="H19" s="2" t="s">
        <v>234</v>
      </c>
      <c r="I19" s="2" t="s">
        <v>234</v>
      </c>
      <c r="J19" s="2" t="s">
        <v>234</v>
      </c>
      <c r="K19" s="1" t="s">
        <v>244</v>
      </c>
      <c r="L19" s="1"/>
    </row>
    <row r="20" spans="1:12">
      <c r="A20" s="6" t="s">
        <v>92</v>
      </c>
      <c r="B20" s="7" t="s">
        <v>108</v>
      </c>
      <c r="C20" s="8" t="s">
        <v>235</v>
      </c>
      <c r="D20" s="8" t="s">
        <v>235</v>
      </c>
      <c r="E20" s="8" t="s">
        <v>245</v>
      </c>
      <c r="F20" s="8" t="s">
        <v>246</v>
      </c>
      <c r="G20" s="8" t="s">
        <v>246</v>
      </c>
      <c r="H20" s="8" t="s">
        <v>247</v>
      </c>
      <c r="I20" s="8" t="s">
        <v>248</v>
      </c>
      <c r="J20" s="8" t="s">
        <v>248</v>
      </c>
      <c r="K20" s="8"/>
      <c r="L20" s="8"/>
    </row>
    <row r="21" spans="1:12">
      <c r="A21" s="6" t="s">
        <v>109</v>
      </c>
      <c r="B21" s="7" t="s">
        <v>94</v>
      </c>
      <c r="C21" s="10">
        <v>18.899999999999999</v>
      </c>
      <c r="D21" s="11">
        <v>18.850000000000001</v>
      </c>
      <c r="E21" s="6">
        <v>18.850000000000001</v>
      </c>
      <c r="F21" s="10">
        <v>18.8</v>
      </c>
      <c r="G21" s="6">
        <v>18.75</v>
      </c>
      <c r="H21" s="6">
        <v>18.600000000000001</v>
      </c>
      <c r="I21" s="6">
        <v>18.600000000000001</v>
      </c>
      <c r="J21" s="6">
        <v>18.5</v>
      </c>
      <c r="K21" s="6">
        <v>-0.60499999999999998</v>
      </c>
      <c r="L21" s="6"/>
    </row>
    <row r="22" spans="1:12" ht="17.25" thickBot="1">
      <c r="A22" s="72" t="s">
        <v>7</v>
      </c>
      <c r="B22" s="73" t="s">
        <v>8</v>
      </c>
      <c r="C22" s="84">
        <v>50</v>
      </c>
      <c r="D22" s="85">
        <v>50</v>
      </c>
      <c r="E22" s="72">
        <v>60</v>
      </c>
      <c r="F22" s="84">
        <v>70</v>
      </c>
      <c r="G22" s="72">
        <v>60</v>
      </c>
      <c r="H22" s="72">
        <v>30</v>
      </c>
      <c r="I22" s="72">
        <v>30</v>
      </c>
      <c r="J22" s="72">
        <v>30</v>
      </c>
      <c r="K22" s="72">
        <v>694.4</v>
      </c>
      <c r="L22" s="72"/>
    </row>
    <row r="23" spans="1:12">
      <c r="A23" s="78" t="s">
        <v>9</v>
      </c>
      <c r="B23" s="79" t="s">
        <v>10</v>
      </c>
      <c r="C23" s="80">
        <f>+C21*C22*1000</f>
        <v>944999.99999999988</v>
      </c>
      <c r="D23" s="80">
        <f t="shared" ref="D23:K23" si="7">+D21*D22*1000</f>
        <v>942500.00000000012</v>
      </c>
      <c r="E23" s="80">
        <f t="shared" si="7"/>
        <v>1131000</v>
      </c>
      <c r="F23" s="80">
        <f t="shared" si="7"/>
        <v>1316000</v>
      </c>
      <c r="G23" s="80">
        <f t="shared" si="7"/>
        <v>1125000</v>
      </c>
      <c r="H23" s="80">
        <f t="shared" si="7"/>
        <v>558000</v>
      </c>
      <c r="I23" s="80">
        <f t="shared" si="7"/>
        <v>558000</v>
      </c>
      <c r="J23" s="80">
        <f t="shared" si="7"/>
        <v>555000</v>
      </c>
      <c r="K23" s="80">
        <f t="shared" si="7"/>
        <v>-420111.99999999994</v>
      </c>
      <c r="L23" s="80"/>
    </row>
    <row r="24" spans="1:12">
      <c r="A24" s="32" t="s">
        <v>11</v>
      </c>
      <c r="B24" s="61" t="s">
        <v>110</v>
      </c>
      <c r="C24" s="33">
        <f>+C23*0.001425*0.45</f>
        <v>605.98124999999993</v>
      </c>
      <c r="D24" s="33">
        <f>+D23*0.001425*0.45</f>
        <v>604.37812500000007</v>
      </c>
      <c r="E24" s="33">
        <f t="shared" ref="E24:J24" si="8">+E23*0.001425*0.45</f>
        <v>725.25374999999997</v>
      </c>
      <c r="F24" s="33">
        <f t="shared" si="8"/>
        <v>843.88499999999999</v>
      </c>
      <c r="G24" s="33">
        <f t="shared" si="8"/>
        <v>721.40625</v>
      </c>
      <c r="H24" s="33">
        <f t="shared" si="8"/>
        <v>357.8175</v>
      </c>
      <c r="I24" s="33">
        <f t="shared" si="8"/>
        <v>357.8175</v>
      </c>
      <c r="J24" s="33">
        <f t="shared" si="8"/>
        <v>355.89375000000001</v>
      </c>
      <c r="K24" s="33"/>
      <c r="L24" s="31"/>
    </row>
    <row r="25" spans="1:12">
      <c r="A25" s="32" t="s">
        <v>111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97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112</v>
      </c>
      <c r="C27" s="83">
        <f>+C23+C24</f>
        <v>945605.98124999984</v>
      </c>
      <c r="D27" s="83">
        <f t="shared" ref="D27:J27" si="9">+D23+D24</f>
        <v>943104.37812500016</v>
      </c>
      <c r="E27" s="83">
        <f t="shared" si="9"/>
        <v>1131725.2537499999</v>
      </c>
      <c r="F27" s="83">
        <f t="shared" si="9"/>
        <v>1316843.885</v>
      </c>
      <c r="G27" s="83">
        <f t="shared" si="9"/>
        <v>1125721.40625</v>
      </c>
      <c r="H27" s="83">
        <f t="shared" si="9"/>
        <v>558357.8175</v>
      </c>
      <c r="I27" s="83">
        <f t="shared" si="9"/>
        <v>558357.8175</v>
      </c>
      <c r="J27" s="83">
        <f t="shared" si="9"/>
        <v>555355.89375000005</v>
      </c>
      <c r="K27" s="83">
        <f>+K23+K24</f>
        <v>-420111.99999999994</v>
      </c>
      <c r="L27" s="83"/>
    </row>
    <row r="28" spans="1:12">
      <c r="A28" s="75" t="s">
        <v>113</v>
      </c>
      <c r="B28" s="76" t="s">
        <v>99</v>
      </c>
      <c r="C28" s="86">
        <f>L11+C27</f>
        <v>4413161.9413541202</v>
      </c>
      <c r="D28" s="87">
        <f>D27+C28</f>
        <v>5356266.31947912</v>
      </c>
      <c r="E28" s="87">
        <f t="shared" ref="E28:K28" si="10">E27+D28</f>
        <v>6487991.5732291201</v>
      </c>
      <c r="F28" s="87">
        <f t="shared" si="10"/>
        <v>7804835.4582291199</v>
      </c>
      <c r="G28" s="87">
        <f t="shared" si="10"/>
        <v>8930556.8644791208</v>
      </c>
      <c r="H28" s="87">
        <f t="shared" si="10"/>
        <v>9488914.6819791216</v>
      </c>
      <c r="I28" s="87">
        <f t="shared" si="10"/>
        <v>10047272.499479122</v>
      </c>
      <c r="J28" s="87">
        <f t="shared" si="10"/>
        <v>10602628.393229123</v>
      </c>
      <c r="K28" s="86">
        <f t="shared" si="10"/>
        <v>10182516.393229123</v>
      </c>
      <c r="L28" s="77"/>
    </row>
    <row r="29" spans="1:12">
      <c r="A29" s="6" t="s">
        <v>114</v>
      </c>
      <c r="B29" s="18" t="s">
        <v>100</v>
      </c>
      <c r="C29" s="36">
        <f>L12+C22</f>
        <v>364.42599999999999</v>
      </c>
      <c r="D29" s="63">
        <f>C29+D22</f>
        <v>414.42599999999999</v>
      </c>
      <c r="E29" s="63">
        <f t="shared" ref="E29:J29" si="11">D29+E22</f>
        <v>474.42599999999999</v>
      </c>
      <c r="F29" s="63">
        <f t="shared" si="11"/>
        <v>544.42599999999993</v>
      </c>
      <c r="G29" s="63">
        <f t="shared" si="11"/>
        <v>604.42599999999993</v>
      </c>
      <c r="H29" s="63">
        <f t="shared" si="11"/>
        <v>634.42599999999993</v>
      </c>
      <c r="I29" s="63">
        <f t="shared" si="11"/>
        <v>664.42599999999993</v>
      </c>
      <c r="J29" s="63">
        <f t="shared" si="11"/>
        <v>694.42599999999993</v>
      </c>
      <c r="K29" s="38">
        <f>+J29+J29*K33/10</f>
        <v>728.80008699999996</v>
      </c>
      <c r="L29" s="6"/>
    </row>
    <row r="30" spans="1:12">
      <c r="A30" s="6" t="s">
        <v>115</v>
      </c>
      <c r="B30" s="7" t="s">
        <v>101</v>
      </c>
      <c r="C30" s="35">
        <f>+C28/C29/1000</f>
        <v>12.109898693710438</v>
      </c>
      <c r="D30" s="35">
        <f t="shared" ref="D30:K30" si="12">+D28/D29/1000</f>
        <v>12.924542184802883</v>
      </c>
      <c r="E30" s="35">
        <f t="shared" si="12"/>
        <v>13.675455335983104</v>
      </c>
      <c r="F30" s="35">
        <f t="shared" si="12"/>
        <v>14.335897731241934</v>
      </c>
      <c r="G30" s="35">
        <f t="shared" si="12"/>
        <v>14.775269204963257</v>
      </c>
      <c r="H30" s="35">
        <f t="shared" si="12"/>
        <v>14.956692635514814</v>
      </c>
      <c r="I30" s="35">
        <f t="shared" si="12"/>
        <v>15.12173289347365</v>
      </c>
      <c r="J30" s="35">
        <f t="shared" si="12"/>
        <v>15.268190409387213</v>
      </c>
      <c r="K30" s="68">
        <f t="shared" si="12"/>
        <v>13.971617971594897</v>
      </c>
      <c r="L30" s="10"/>
    </row>
    <row r="31" spans="1:12">
      <c r="A31" s="6" t="s">
        <v>102</v>
      </c>
      <c r="B31" s="7" t="s">
        <v>116</v>
      </c>
      <c r="C31" s="6"/>
      <c r="D31" s="21"/>
      <c r="E31" s="6"/>
      <c r="F31" s="6"/>
      <c r="G31" s="6"/>
      <c r="H31" s="6"/>
      <c r="I31" s="6"/>
      <c r="J31" s="6"/>
      <c r="K31" s="6" t="s">
        <v>249</v>
      </c>
      <c r="L31" s="6"/>
    </row>
    <row r="32" spans="1:12">
      <c r="A32" s="6" t="s">
        <v>104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>
        <v>0.60499999999999998</v>
      </c>
      <c r="L32" s="22"/>
    </row>
    <row r="33" spans="1:12">
      <c r="A33" s="6" t="s">
        <v>105</v>
      </c>
      <c r="B33" s="7" t="s">
        <v>106</v>
      </c>
      <c r="C33" s="6"/>
      <c r="D33" s="11"/>
      <c r="E33" s="6"/>
      <c r="F33" s="6"/>
      <c r="G33" s="6"/>
      <c r="H33" s="6"/>
      <c r="I33" s="6"/>
      <c r="J33" s="6"/>
      <c r="K33" s="6">
        <v>0.495</v>
      </c>
      <c r="L33" s="23"/>
    </row>
    <row r="34" spans="1:12" ht="8.1" customHeight="1"/>
    <row r="35" spans="1:12">
      <c r="A35" s="438" t="s">
        <v>129</v>
      </c>
      <c r="B35" s="439"/>
      <c r="C35" s="1" t="s">
        <v>250</v>
      </c>
      <c r="D35" s="1" t="s">
        <v>251</v>
      </c>
      <c r="E35" s="1" t="s">
        <v>252</v>
      </c>
      <c r="F35" s="1" t="s">
        <v>253</v>
      </c>
      <c r="G35" s="1" t="s">
        <v>231</v>
      </c>
      <c r="H35" s="1" t="s">
        <v>580</v>
      </c>
      <c r="I35" s="1"/>
      <c r="J35" s="1"/>
      <c r="K35" s="1"/>
      <c r="L35" s="1"/>
    </row>
    <row r="36" spans="1:12">
      <c r="A36" s="3" t="s">
        <v>0</v>
      </c>
      <c r="B36" s="4" t="s">
        <v>1</v>
      </c>
      <c r="C36" s="5" t="s">
        <v>255</v>
      </c>
      <c r="D36" s="1" t="s">
        <v>255</v>
      </c>
      <c r="E36" s="1" t="s">
        <v>255</v>
      </c>
      <c r="F36" s="1" t="s">
        <v>255</v>
      </c>
      <c r="G36" s="1" t="s">
        <v>255</v>
      </c>
      <c r="H36" s="1" t="s">
        <v>581</v>
      </c>
      <c r="I36" s="1"/>
      <c r="J36" s="1"/>
      <c r="K36" s="1"/>
      <c r="L36" s="1"/>
    </row>
    <row r="37" spans="1:12">
      <c r="A37" s="6" t="s">
        <v>3</v>
      </c>
      <c r="B37" s="7" t="s">
        <v>4</v>
      </c>
      <c r="C37" s="8" t="s">
        <v>256</v>
      </c>
      <c r="D37" s="8" t="s">
        <v>256</v>
      </c>
      <c r="E37" s="8" t="s">
        <v>256</v>
      </c>
      <c r="F37" s="8" t="s">
        <v>256</v>
      </c>
      <c r="G37" s="8" t="s">
        <v>257</v>
      </c>
      <c r="H37" s="8" t="s">
        <v>655</v>
      </c>
      <c r="I37" s="8"/>
      <c r="J37" s="8"/>
      <c r="K37" s="8"/>
      <c r="L37" s="8"/>
    </row>
    <row r="38" spans="1:12">
      <c r="A38" s="6" t="s">
        <v>5</v>
      </c>
      <c r="B38" s="7" t="s">
        <v>6</v>
      </c>
      <c r="C38" s="29">
        <v>16.3</v>
      </c>
      <c r="D38" s="29">
        <v>16.25</v>
      </c>
      <c r="E38" s="29">
        <v>16.2</v>
      </c>
      <c r="F38" s="6">
        <v>16.149999999999999</v>
      </c>
      <c r="G38" s="66">
        <v>-0.51</v>
      </c>
      <c r="H38" s="6">
        <v>-0.6</v>
      </c>
      <c r="I38" s="6"/>
      <c r="J38" s="6"/>
      <c r="K38" s="6"/>
      <c r="L38" s="6"/>
    </row>
    <row r="39" spans="1:12" ht="17.25" thickBot="1">
      <c r="A39" s="72" t="s">
        <v>7</v>
      </c>
      <c r="B39" s="73" t="s">
        <v>8</v>
      </c>
      <c r="C39" s="74">
        <v>10</v>
      </c>
      <c r="D39" s="74">
        <v>20</v>
      </c>
      <c r="E39" s="74">
        <v>30</v>
      </c>
      <c r="F39" s="72">
        <v>60</v>
      </c>
      <c r="G39" s="108">
        <f>F46</f>
        <v>848.80008699999996</v>
      </c>
      <c r="H39" s="305">
        <f>G46</f>
        <v>884.44969065399994</v>
      </c>
      <c r="I39" s="72"/>
      <c r="J39" s="72"/>
      <c r="K39" s="72"/>
      <c r="L39" s="72"/>
    </row>
    <row r="40" spans="1:12">
      <c r="A40" s="78" t="s">
        <v>9</v>
      </c>
      <c r="B40" s="79" t="s">
        <v>10</v>
      </c>
      <c r="C40" s="80">
        <f>+C38*C39*1000</f>
        <v>163000</v>
      </c>
      <c r="D40" s="80">
        <f t="shared" ref="D40:G40" si="13">+D38*D39*1000</f>
        <v>325000</v>
      </c>
      <c r="E40" s="80">
        <f t="shared" si="13"/>
        <v>486000</v>
      </c>
      <c r="F40" s="80">
        <f t="shared" si="13"/>
        <v>968999.99999999988</v>
      </c>
      <c r="G40" s="80">
        <f t="shared" si="13"/>
        <v>-432888.04437000002</v>
      </c>
      <c r="H40" s="80">
        <f t="shared" ref="H40:K40" si="14">+H38*H39*1000</f>
        <v>-530669.81439239997</v>
      </c>
      <c r="I40" s="80">
        <f t="shared" si="14"/>
        <v>0</v>
      </c>
      <c r="J40" s="80">
        <f t="shared" si="14"/>
        <v>0</v>
      </c>
      <c r="K40" s="80">
        <f t="shared" si="14"/>
        <v>0</v>
      </c>
      <c r="L40" s="88"/>
    </row>
    <row r="41" spans="1:12">
      <c r="A41" s="32" t="s">
        <v>11</v>
      </c>
      <c r="B41" s="61" t="s">
        <v>12</v>
      </c>
      <c r="C41" s="33">
        <f>+C40*0.001425*0.45</f>
        <v>104.52375000000001</v>
      </c>
      <c r="D41" s="33">
        <f t="shared" ref="D41:F41" si="15">+D40*0.001425*0.45</f>
        <v>208.40625</v>
      </c>
      <c r="E41" s="33">
        <f t="shared" si="15"/>
        <v>311.64750000000004</v>
      </c>
      <c r="F41" s="33">
        <f t="shared" si="15"/>
        <v>621.37124999999992</v>
      </c>
      <c r="G41" s="31"/>
      <c r="H41" s="31">
        <v>10</v>
      </c>
      <c r="I41" s="31"/>
      <c r="J41" s="31"/>
      <c r="K41" s="31"/>
      <c r="L41" s="71"/>
    </row>
    <row r="42" spans="1:12">
      <c r="A42" s="32" t="s">
        <v>13</v>
      </c>
      <c r="B42" s="61" t="s">
        <v>14</v>
      </c>
      <c r="C42" s="33"/>
      <c r="D42" s="31"/>
      <c r="E42" s="31"/>
      <c r="F42" s="31"/>
      <c r="G42" s="31"/>
      <c r="H42" s="31"/>
      <c r="I42" s="31"/>
      <c r="J42" s="31"/>
      <c r="K42" s="31"/>
      <c r="L42" s="71"/>
    </row>
    <row r="43" spans="1:12">
      <c r="A43" s="32" t="s">
        <v>15</v>
      </c>
      <c r="B43" s="62" t="s">
        <v>16</v>
      </c>
      <c r="C43" s="33"/>
      <c r="D43" s="31"/>
      <c r="E43" s="31"/>
      <c r="F43" s="31"/>
      <c r="G43" s="31"/>
      <c r="H43" s="31"/>
      <c r="I43" s="31"/>
      <c r="J43" s="31"/>
      <c r="K43" s="31"/>
      <c r="L43" s="71"/>
    </row>
    <row r="44" spans="1:12" ht="17.25" thickBot="1">
      <c r="A44" s="81" t="s">
        <v>17</v>
      </c>
      <c r="B44" s="82" t="s">
        <v>18</v>
      </c>
      <c r="C44" s="83">
        <f>+C40+C41</f>
        <v>163104.52374999999</v>
      </c>
      <c r="D44" s="83">
        <f t="shared" ref="D44" si="16">+D40+D41</f>
        <v>325208.40625</v>
      </c>
      <c r="E44" s="83">
        <f>+E40+E41</f>
        <v>486311.64750000002</v>
      </c>
      <c r="F44" s="83">
        <f>SUM(F40:F43)</f>
        <v>969621.37124999985</v>
      </c>
      <c r="G44" s="83">
        <f>SUM(G40:G43)</f>
        <v>-432888.04437000002</v>
      </c>
      <c r="H44" s="83">
        <f>+H40+H41+H42</f>
        <v>-530659.81439239997</v>
      </c>
      <c r="I44" s="83">
        <f>+I40+I41+I42</f>
        <v>0</v>
      </c>
      <c r="J44" s="83">
        <f>+J40+J41+J42</f>
        <v>0</v>
      </c>
      <c r="K44" s="83">
        <f>+K40+K41+K42</f>
        <v>0</v>
      </c>
      <c r="L44" s="89"/>
    </row>
    <row r="45" spans="1:12">
      <c r="A45" s="75" t="s">
        <v>19</v>
      </c>
      <c r="B45" s="76" t="s">
        <v>20</v>
      </c>
      <c r="C45" s="86">
        <f>C44+K28</f>
        <v>10345620.916979123</v>
      </c>
      <c r="D45" s="86">
        <f>+C45+D44</f>
        <v>10670829.323229123</v>
      </c>
      <c r="E45" s="86">
        <f>+D45+E44</f>
        <v>11157140.970729124</v>
      </c>
      <c r="F45" s="86">
        <f>+E45+F44</f>
        <v>12126762.341979124</v>
      </c>
      <c r="G45" s="86">
        <f>F45+G44</f>
        <v>11693874.297609124</v>
      </c>
      <c r="H45" s="86">
        <f>G45+H44</f>
        <v>11163214.483216725</v>
      </c>
      <c r="I45" s="86"/>
      <c r="J45" s="86"/>
      <c r="K45" s="86"/>
      <c r="L45" s="86"/>
    </row>
    <row r="46" spans="1:12">
      <c r="A46" s="6" t="s">
        <v>21</v>
      </c>
      <c r="B46" s="18" t="s">
        <v>22</v>
      </c>
      <c r="C46" s="60">
        <f>C39+K29</f>
        <v>738.80008699999996</v>
      </c>
      <c r="D46" s="60">
        <f>+C46+D39</f>
        <v>758.80008699999996</v>
      </c>
      <c r="E46" s="60">
        <f>+D46+E39</f>
        <v>788.80008699999996</v>
      </c>
      <c r="F46" s="60">
        <f>+E46+F39</f>
        <v>848.80008699999996</v>
      </c>
      <c r="G46" s="45">
        <f>+G39+G39*G50/10</f>
        <v>884.44969065399994</v>
      </c>
      <c r="H46" s="42">
        <v>919.82600000000002</v>
      </c>
      <c r="I46" s="42"/>
      <c r="J46" s="42"/>
      <c r="K46" s="42"/>
      <c r="L46" s="42"/>
    </row>
    <row r="47" spans="1:12" ht="15.6" customHeight="1">
      <c r="A47" s="6" t="s">
        <v>23</v>
      </c>
      <c r="B47" s="7" t="s">
        <v>24</v>
      </c>
      <c r="C47" s="20">
        <f>+C45/C46/1000</f>
        <v>14.003275174193535</v>
      </c>
      <c r="D47" s="20">
        <f t="shared" ref="D47:F47" si="17">+D45/D46/1000</f>
        <v>14.062767659157007</v>
      </c>
      <c r="E47" s="20">
        <f t="shared" si="17"/>
        <v>14.144446932254363</v>
      </c>
      <c r="F47" s="44">
        <f t="shared" si="17"/>
        <v>14.286947571883466</v>
      </c>
      <c r="G47" s="45">
        <f>G45/G46/1000</f>
        <v>13.221638744609852</v>
      </c>
      <c r="H47" s="44">
        <f>H45/H46/1000</f>
        <v>12.136224115448709</v>
      </c>
      <c r="I47" s="44"/>
      <c r="J47" s="44"/>
      <c r="K47" s="44"/>
      <c r="L47" s="45"/>
    </row>
    <row r="48" spans="1:12">
      <c r="A48" s="6" t="s">
        <v>25</v>
      </c>
      <c r="B48" s="7" t="s">
        <v>26</v>
      </c>
      <c r="C48" s="6"/>
      <c r="D48" s="6"/>
      <c r="E48" s="6"/>
      <c r="F48" s="6"/>
      <c r="G48" s="6" t="s">
        <v>258</v>
      </c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6"/>
      <c r="F49" s="6"/>
      <c r="G49" s="70">
        <v>0.51</v>
      </c>
      <c r="H49" s="6">
        <v>0.6</v>
      </c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6"/>
      <c r="F50" s="6"/>
      <c r="G50" s="70">
        <v>0.42</v>
      </c>
      <c r="H50" s="6">
        <v>0.4</v>
      </c>
      <c r="I50" s="6"/>
      <c r="J50" s="6"/>
      <c r="K50" s="6"/>
      <c r="L50" s="23"/>
    </row>
    <row r="51" spans="1:12" ht="9.75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8" t="s">
        <v>90</v>
      </c>
      <c r="B52" s="439"/>
      <c r="C52" s="1"/>
      <c r="D52" s="2"/>
      <c r="E52" s="1"/>
      <c r="F52" s="1"/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5"/>
      <c r="D53" s="2"/>
      <c r="E53" s="2"/>
      <c r="F53" s="2"/>
      <c r="G53" s="2"/>
      <c r="H53" s="2"/>
      <c r="I53" s="2"/>
      <c r="J53" s="2"/>
      <c r="K53" s="2"/>
      <c r="L53" s="1"/>
    </row>
    <row r="54" spans="1:12">
      <c r="A54" s="6" t="s">
        <v>3</v>
      </c>
      <c r="B54" s="7" t="s">
        <v>4</v>
      </c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10"/>
      <c r="D55" s="11"/>
      <c r="E55" s="6"/>
      <c r="F55" s="10"/>
      <c r="G55" s="6"/>
      <c r="H55" s="6"/>
      <c r="I55" s="6"/>
      <c r="J55" s="6"/>
      <c r="K55" s="6"/>
      <c r="L55" s="6"/>
    </row>
    <row r="56" spans="1:12" ht="17.25" thickBot="1">
      <c r="A56" s="72" t="s">
        <v>7</v>
      </c>
      <c r="B56" s="73" t="s">
        <v>8</v>
      </c>
      <c r="C56" s="84"/>
      <c r="D56" s="85"/>
      <c r="E56" s="72"/>
      <c r="F56" s="84"/>
      <c r="G56" s="72"/>
      <c r="H56" s="72"/>
      <c r="I56" s="72"/>
      <c r="J56" s="72"/>
      <c r="K56" s="72"/>
      <c r="L56" s="72"/>
    </row>
    <row r="57" spans="1:12">
      <c r="A57" s="78" t="s">
        <v>9</v>
      </c>
      <c r="B57" s="79" t="s">
        <v>10</v>
      </c>
      <c r="C57" s="80">
        <f>+C55*C56*1000</f>
        <v>0</v>
      </c>
      <c r="D57" s="80">
        <f t="shared" ref="D57" si="18">+D55*D56*1000</f>
        <v>0</v>
      </c>
      <c r="E57" s="80">
        <f t="shared" ref="E57" si="19">+E55*E56*1000</f>
        <v>0</v>
      </c>
      <c r="F57" s="80">
        <f t="shared" ref="F57" si="20">+F55*F56*1000</f>
        <v>0</v>
      </c>
      <c r="G57" s="80">
        <f t="shared" ref="G57" si="21">+G55*G56*1000</f>
        <v>0</v>
      </c>
      <c r="H57" s="80">
        <f t="shared" ref="H57" si="22">+H55*H56*1000</f>
        <v>0</v>
      </c>
      <c r="I57" s="80">
        <f t="shared" ref="I57" si="23">+I55*I56*1000</f>
        <v>0</v>
      </c>
      <c r="J57" s="80">
        <f t="shared" ref="J57" si="24">+J55*J56*1000</f>
        <v>0</v>
      </c>
      <c r="K57" s="80">
        <f t="shared" ref="K57" si="25">+K55*K56*1000</f>
        <v>0</v>
      </c>
      <c r="L57" s="80"/>
    </row>
    <row r="58" spans="1:12">
      <c r="A58" s="32" t="s">
        <v>11</v>
      </c>
      <c r="B58" s="61" t="s">
        <v>12</v>
      </c>
      <c r="C58" s="33">
        <f>+C57*0.001425*0.45</f>
        <v>0</v>
      </c>
      <c r="D58" s="33">
        <f>+D57*0.001425*0.45</f>
        <v>0</v>
      </c>
      <c r="E58" s="33">
        <f t="shared" ref="E58" si="26">+E57*0.001425*0.45</f>
        <v>0</v>
      </c>
      <c r="F58" s="33">
        <f t="shared" ref="F58" si="27">+F57*0.001425*0.45</f>
        <v>0</v>
      </c>
      <c r="G58" s="33">
        <f t="shared" ref="G58" si="28">+G57*0.001425*0.45</f>
        <v>0</v>
      </c>
      <c r="H58" s="33">
        <f t="shared" ref="H58" si="29">+H57*0.001425*0.45</f>
        <v>0</v>
      </c>
      <c r="I58" s="33">
        <f t="shared" ref="I58" si="30">+I57*0.001425*0.45</f>
        <v>0</v>
      </c>
      <c r="J58" s="33">
        <f t="shared" ref="J58" si="31">+J57*0.001425*0.45</f>
        <v>0</v>
      </c>
      <c r="K58" s="33"/>
      <c r="L58" s="31"/>
    </row>
    <row r="59" spans="1:12">
      <c r="A59" s="32" t="s">
        <v>13</v>
      </c>
      <c r="B59" s="61" t="s">
        <v>14</v>
      </c>
      <c r="C59" s="33"/>
      <c r="D59" s="31"/>
      <c r="E59" s="31"/>
      <c r="F59" s="31"/>
      <c r="G59" s="31"/>
      <c r="H59" s="31"/>
      <c r="I59" s="31"/>
      <c r="J59" s="31"/>
      <c r="K59" s="31"/>
      <c r="L59" s="31"/>
    </row>
    <row r="60" spans="1:12">
      <c r="A60" s="32" t="s">
        <v>15</v>
      </c>
      <c r="B60" s="62" t="s">
        <v>16</v>
      </c>
      <c r="C60" s="33"/>
      <c r="D60" s="31"/>
      <c r="E60" s="31"/>
      <c r="F60" s="31"/>
      <c r="G60" s="31"/>
      <c r="H60" s="31"/>
      <c r="I60" s="31"/>
      <c r="J60" s="31"/>
      <c r="K60" s="31"/>
      <c r="L60" s="31"/>
    </row>
    <row r="61" spans="1:12" ht="17.25" thickBot="1">
      <c r="A61" s="81" t="s">
        <v>17</v>
      </c>
      <c r="B61" s="82" t="s">
        <v>18</v>
      </c>
      <c r="C61" s="83">
        <f>+C57+C58</f>
        <v>0</v>
      </c>
      <c r="D61" s="83">
        <f t="shared" ref="D61:J61" si="32">+D57+D58</f>
        <v>0</v>
      </c>
      <c r="E61" s="83">
        <f t="shared" si="32"/>
        <v>0</v>
      </c>
      <c r="F61" s="83">
        <f t="shared" si="32"/>
        <v>0</v>
      </c>
      <c r="G61" s="83">
        <f t="shared" si="32"/>
        <v>0</v>
      </c>
      <c r="H61" s="83">
        <f t="shared" si="32"/>
        <v>0</v>
      </c>
      <c r="I61" s="83">
        <f t="shared" si="32"/>
        <v>0</v>
      </c>
      <c r="J61" s="83">
        <f t="shared" si="32"/>
        <v>0</v>
      </c>
      <c r="K61" s="83">
        <f>+K57+K58</f>
        <v>0</v>
      </c>
      <c r="L61" s="83"/>
    </row>
    <row r="62" spans="1:12">
      <c r="A62" s="75" t="s">
        <v>19</v>
      </c>
      <c r="B62" s="76" t="s">
        <v>20</v>
      </c>
      <c r="C62" s="86">
        <f>L45+C61</f>
        <v>0</v>
      </c>
      <c r="D62" s="87">
        <f>D61+C62</f>
        <v>0</v>
      </c>
      <c r="E62" s="87">
        <f t="shared" ref="E62" si="33">E61+D62</f>
        <v>0</v>
      </c>
      <c r="F62" s="87">
        <f t="shared" ref="F62" si="34">F61+E62</f>
        <v>0</v>
      </c>
      <c r="G62" s="87">
        <f t="shared" ref="G62" si="35">G61+F62</f>
        <v>0</v>
      </c>
      <c r="H62" s="87">
        <f t="shared" ref="H62" si="36">H61+G62</f>
        <v>0</v>
      </c>
      <c r="I62" s="87">
        <f t="shared" ref="I62" si="37">I61+H62</f>
        <v>0</v>
      </c>
      <c r="J62" s="87">
        <f t="shared" ref="J62" si="38">J61+I62</f>
        <v>0</v>
      </c>
      <c r="K62" s="87">
        <f t="shared" ref="K62" si="39">K61+J62</f>
        <v>0</v>
      </c>
      <c r="L62" s="77"/>
    </row>
    <row r="63" spans="1:12">
      <c r="A63" s="6" t="s">
        <v>21</v>
      </c>
      <c r="B63" s="18" t="s">
        <v>22</v>
      </c>
      <c r="C63" s="36">
        <f>L46+C56</f>
        <v>0</v>
      </c>
      <c r="D63" s="63">
        <f>C63+D56</f>
        <v>0</v>
      </c>
      <c r="E63" s="63">
        <f t="shared" ref="E63:J63" si="40">D63+E56</f>
        <v>0</v>
      </c>
      <c r="F63" s="63">
        <f t="shared" si="40"/>
        <v>0</v>
      </c>
      <c r="G63" s="63">
        <f t="shared" si="40"/>
        <v>0</v>
      </c>
      <c r="H63" s="63">
        <f t="shared" si="40"/>
        <v>0</v>
      </c>
      <c r="I63" s="63">
        <f t="shared" si="40"/>
        <v>0</v>
      </c>
      <c r="J63" s="63">
        <f t="shared" si="40"/>
        <v>0</v>
      </c>
      <c r="K63" s="38"/>
      <c r="L63" s="6"/>
    </row>
    <row r="64" spans="1:12">
      <c r="A64" s="6" t="s">
        <v>23</v>
      </c>
      <c r="B64" s="7" t="s">
        <v>24</v>
      </c>
      <c r="C64" s="35"/>
      <c r="D64" s="35"/>
      <c r="E64" s="35"/>
      <c r="F64" s="35"/>
      <c r="G64" s="35"/>
      <c r="H64" s="35"/>
      <c r="I64" s="35"/>
      <c r="J64" s="35"/>
      <c r="K64" s="35"/>
      <c r="L64" s="10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10"/>
      <c r="D66" s="11"/>
      <c r="E66" s="6"/>
      <c r="F66" s="6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&amp;Rpage&amp;P
&amp;D</oddFooter>
  </headerFooter>
  <rowBreaks count="1" manualBreakCount="1">
    <brk id="16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02"/>
  <sheetViews>
    <sheetView topLeftCell="A58" zoomScale="115" zoomScaleNormal="115" workbookViewId="0">
      <selection activeCell="C58" sqref="C58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38" t="s">
        <v>263</v>
      </c>
      <c r="B1" s="439"/>
      <c r="C1" s="1" t="s">
        <v>264</v>
      </c>
      <c r="D1" s="1" t="s">
        <v>265</v>
      </c>
      <c r="E1" s="1" t="s">
        <v>266</v>
      </c>
      <c r="F1" s="1" t="s">
        <v>267</v>
      </c>
      <c r="G1" s="1" t="s">
        <v>268</v>
      </c>
      <c r="H1" s="1" t="s">
        <v>269</v>
      </c>
      <c r="I1" s="1" t="s">
        <v>270</v>
      </c>
      <c r="J1" s="1" t="s">
        <v>271</v>
      </c>
      <c r="K1" s="1" t="s">
        <v>272</v>
      </c>
      <c r="L1" s="1" t="s">
        <v>273</v>
      </c>
    </row>
    <row r="2" spans="1:12">
      <c r="A2" s="3" t="s">
        <v>0</v>
      </c>
      <c r="B2" s="4" t="s">
        <v>1</v>
      </c>
      <c r="C2" s="1" t="s">
        <v>274</v>
      </c>
      <c r="D2" s="1" t="s">
        <v>274</v>
      </c>
      <c r="E2" s="1" t="s">
        <v>274</v>
      </c>
      <c r="F2" s="1" t="s">
        <v>274</v>
      </c>
      <c r="G2" s="1" t="s">
        <v>274</v>
      </c>
      <c r="H2" s="1" t="s">
        <v>274</v>
      </c>
      <c r="I2" s="1" t="s">
        <v>274</v>
      </c>
      <c r="J2" s="1" t="s">
        <v>274</v>
      </c>
      <c r="K2" s="1" t="s">
        <v>274</v>
      </c>
      <c r="L2" s="1" t="s">
        <v>274</v>
      </c>
    </row>
    <row r="3" spans="1:12">
      <c r="A3" s="6" t="s">
        <v>3</v>
      </c>
      <c r="B3" s="7" t="s">
        <v>4</v>
      </c>
      <c r="C3" s="8" t="s">
        <v>287</v>
      </c>
      <c r="D3" s="8" t="s">
        <v>288</v>
      </c>
      <c r="E3" s="8">
        <v>45161</v>
      </c>
      <c r="F3" s="8">
        <v>45163</v>
      </c>
      <c r="G3" s="8">
        <v>45168</v>
      </c>
      <c r="H3" s="8">
        <v>45170</v>
      </c>
      <c r="I3" s="8">
        <v>45172</v>
      </c>
      <c r="J3" s="8">
        <v>45172</v>
      </c>
      <c r="K3" s="8">
        <v>45172</v>
      </c>
      <c r="L3" s="8">
        <v>45175</v>
      </c>
    </row>
    <row r="4" spans="1:12">
      <c r="A4" s="6" t="s">
        <v>5</v>
      </c>
      <c r="B4" s="7" t="s">
        <v>6</v>
      </c>
      <c r="C4" s="66">
        <v>21.55</v>
      </c>
      <c r="D4" s="66">
        <v>21.4</v>
      </c>
      <c r="E4" s="30">
        <v>21.75</v>
      </c>
      <c r="F4" s="21">
        <v>21.95</v>
      </c>
      <c r="G4" s="30">
        <v>22.25</v>
      </c>
      <c r="H4" s="6">
        <v>22.2</v>
      </c>
      <c r="I4" s="6">
        <v>22.2</v>
      </c>
      <c r="J4" s="6">
        <v>22.15</v>
      </c>
      <c r="K4" s="6">
        <v>22.1</v>
      </c>
      <c r="L4" s="6">
        <v>22.15</v>
      </c>
    </row>
    <row r="5" spans="1:12" ht="17.25" thickBot="1">
      <c r="A5" s="72" t="s">
        <v>7</v>
      </c>
      <c r="B5" s="73" t="s">
        <v>8</v>
      </c>
      <c r="C5" s="93">
        <v>3</v>
      </c>
      <c r="D5" s="93">
        <v>5</v>
      </c>
      <c r="E5" s="90">
        <v>7</v>
      </c>
      <c r="F5" s="91">
        <v>20</v>
      </c>
      <c r="G5" s="91">
        <v>5</v>
      </c>
      <c r="H5" s="72">
        <v>5</v>
      </c>
      <c r="I5" s="72">
        <v>5</v>
      </c>
      <c r="J5" s="72">
        <v>10</v>
      </c>
      <c r="K5" s="72">
        <v>10</v>
      </c>
      <c r="L5" s="72">
        <v>10</v>
      </c>
    </row>
    <row r="6" spans="1:12">
      <c r="A6" s="78" t="s">
        <v>9</v>
      </c>
      <c r="B6" s="79" t="s">
        <v>10</v>
      </c>
      <c r="C6" s="80">
        <f>C4*C5*1000</f>
        <v>64650.000000000007</v>
      </c>
      <c r="D6" s="80">
        <f t="shared" ref="D6:L6" si="0">D4*D5*1000</f>
        <v>107000</v>
      </c>
      <c r="E6" s="80">
        <f t="shared" si="0"/>
        <v>152250</v>
      </c>
      <c r="F6" s="80">
        <f t="shared" si="0"/>
        <v>439000</v>
      </c>
      <c r="G6" s="80">
        <f t="shared" si="0"/>
        <v>111250</v>
      </c>
      <c r="H6" s="80">
        <f t="shared" si="0"/>
        <v>111000</v>
      </c>
      <c r="I6" s="80">
        <f t="shared" si="0"/>
        <v>111000</v>
      </c>
      <c r="J6" s="80">
        <f t="shared" si="0"/>
        <v>221500</v>
      </c>
      <c r="K6" s="80">
        <f t="shared" si="0"/>
        <v>221000</v>
      </c>
      <c r="L6" s="80">
        <f t="shared" si="0"/>
        <v>221500</v>
      </c>
    </row>
    <row r="7" spans="1:12">
      <c r="A7" s="32" t="s">
        <v>11</v>
      </c>
      <c r="B7" s="61" t="s">
        <v>12</v>
      </c>
      <c r="C7" s="33">
        <f>ROUNDDOWN(+C6*0.001425*0.45,0)</f>
        <v>41</v>
      </c>
      <c r="D7" s="33">
        <f t="shared" ref="D7:L7" si="1">ROUNDDOWN(+D6*0.001425*0.45,0)</f>
        <v>68</v>
      </c>
      <c r="E7" s="33">
        <f t="shared" si="1"/>
        <v>97</v>
      </c>
      <c r="F7" s="33">
        <f t="shared" si="1"/>
        <v>281</v>
      </c>
      <c r="G7" s="33">
        <f t="shared" si="1"/>
        <v>71</v>
      </c>
      <c r="H7" s="33">
        <f t="shared" si="1"/>
        <v>71</v>
      </c>
      <c r="I7" s="33">
        <f t="shared" si="1"/>
        <v>71</v>
      </c>
      <c r="J7" s="33">
        <f t="shared" si="1"/>
        <v>142</v>
      </c>
      <c r="K7" s="33">
        <f t="shared" si="1"/>
        <v>141</v>
      </c>
      <c r="L7" s="33">
        <f t="shared" si="1"/>
        <v>142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ht="17.25" thickBot="1">
      <c r="A10" s="81" t="s">
        <v>17</v>
      </c>
      <c r="B10" s="82" t="s">
        <v>18</v>
      </c>
      <c r="C10" s="83">
        <f>SUM(C6:C9)</f>
        <v>64691.000000000007</v>
      </c>
      <c r="D10" s="83">
        <f t="shared" ref="D10:L10" si="2">SUM(D6:D9)</f>
        <v>107068</v>
      </c>
      <c r="E10" s="83">
        <f t="shared" si="2"/>
        <v>152347</v>
      </c>
      <c r="F10" s="83">
        <f t="shared" si="2"/>
        <v>439281</v>
      </c>
      <c r="G10" s="83">
        <f t="shared" si="2"/>
        <v>111321</v>
      </c>
      <c r="H10" s="83">
        <f t="shared" si="2"/>
        <v>111071</v>
      </c>
      <c r="I10" s="83">
        <f t="shared" si="2"/>
        <v>111071</v>
      </c>
      <c r="J10" s="83">
        <f t="shared" si="2"/>
        <v>221642</v>
      </c>
      <c r="K10" s="83">
        <f t="shared" si="2"/>
        <v>221141</v>
      </c>
      <c r="L10" s="83">
        <f t="shared" si="2"/>
        <v>221642</v>
      </c>
    </row>
    <row r="11" spans="1:12">
      <c r="A11" s="75" t="s">
        <v>19</v>
      </c>
      <c r="B11" s="76" t="s">
        <v>20</v>
      </c>
      <c r="C11" s="77">
        <f>C10</f>
        <v>64691.000000000007</v>
      </c>
      <c r="D11" s="77">
        <f>C11+D10</f>
        <v>171759</v>
      </c>
      <c r="E11" s="77">
        <f t="shared" ref="E11:L11" si="3">D11+E10</f>
        <v>324106</v>
      </c>
      <c r="F11" s="77">
        <f t="shared" si="3"/>
        <v>763387</v>
      </c>
      <c r="G11" s="77">
        <f t="shared" si="3"/>
        <v>874708</v>
      </c>
      <c r="H11" s="77">
        <f t="shared" si="3"/>
        <v>985779</v>
      </c>
      <c r="I11" s="77">
        <f t="shared" si="3"/>
        <v>1096850</v>
      </c>
      <c r="J11" s="77">
        <f t="shared" si="3"/>
        <v>1318492</v>
      </c>
      <c r="K11" s="77">
        <f t="shared" si="3"/>
        <v>1539633</v>
      </c>
      <c r="L11" s="77">
        <f t="shared" si="3"/>
        <v>1761275</v>
      </c>
    </row>
    <row r="12" spans="1:12">
      <c r="A12" s="6" t="s">
        <v>21</v>
      </c>
      <c r="B12" s="18" t="s">
        <v>22</v>
      </c>
      <c r="C12" s="40">
        <v>3</v>
      </c>
      <c r="D12" s="40">
        <f>C12+D5</f>
        <v>8</v>
      </c>
      <c r="E12" s="40">
        <f t="shared" ref="E12:L12" si="4">D12+E5</f>
        <v>15</v>
      </c>
      <c r="F12" s="40">
        <f t="shared" si="4"/>
        <v>35</v>
      </c>
      <c r="G12" s="40">
        <f t="shared" si="4"/>
        <v>40</v>
      </c>
      <c r="H12" s="40">
        <f t="shared" si="4"/>
        <v>45</v>
      </c>
      <c r="I12" s="40">
        <f t="shared" si="4"/>
        <v>50</v>
      </c>
      <c r="J12" s="40">
        <f t="shared" si="4"/>
        <v>60</v>
      </c>
      <c r="K12" s="40">
        <f t="shared" si="4"/>
        <v>70</v>
      </c>
      <c r="L12" s="40">
        <f t="shared" si="4"/>
        <v>80</v>
      </c>
    </row>
    <row r="13" spans="1:12">
      <c r="A13" s="6" t="s">
        <v>23</v>
      </c>
      <c r="B13" s="7" t="s">
        <v>24</v>
      </c>
      <c r="C13" s="20">
        <f>+C11/C12/1000</f>
        <v>21.563666666666666</v>
      </c>
      <c r="D13" s="20">
        <f t="shared" ref="D13:L13" si="5">+D11/D12/1000</f>
        <v>21.469874999999998</v>
      </c>
      <c r="E13" s="20">
        <f t="shared" si="5"/>
        <v>21.607066666666665</v>
      </c>
      <c r="F13" s="20">
        <f t="shared" si="5"/>
        <v>21.811057142857141</v>
      </c>
      <c r="G13" s="20">
        <f t="shared" si="5"/>
        <v>21.867699999999999</v>
      </c>
      <c r="H13" s="20">
        <f t="shared" si="5"/>
        <v>21.906200000000002</v>
      </c>
      <c r="I13" s="20">
        <f t="shared" si="5"/>
        <v>21.937000000000001</v>
      </c>
      <c r="J13" s="20">
        <f t="shared" si="5"/>
        <v>21.974866666666664</v>
      </c>
      <c r="K13" s="20">
        <f t="shared" si="5"/>
        <v>21.994757142857143</v>
      </c>
      <c r="L13" s="20">
        <f t="shared" si="5"/>
        <v>22.0159375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66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263</v>
      </c>
      <c r="B18" s="439"/>
      <c r="C18" s="1" t="s">
        <v>277</v>
      </c>
      <c r="D18" s="1" t="s">
        <v>278</v>
      </c>
      <c r="E18" s="1" t="s">
        <v>279</v>
      </c>
      <c r="F18" s="1" t="s">
        <v>280</v>
      </c>
      <c r="G18" s="1" t="s">
        <v>281</v>
      </c>
      <c r="H18" s="1" t="s">
        <v>282</v>
      </c>
      <c r="I18" s="1" t="s">
        <v>283</v>
      </c>
      <c r="J18" s="1" t="s">
        <v>284</v>
      </c>
      <c r="K18" s="1" t="s">
        <v>285</v>
      </c>
      <c r="L18" s="1" t="s">
        <v>286</v>
      </c>
    </row>
    <row r="19" spans="1:12">
      <c r="A19" s="3" t="s">
        <v>0</v>
      </c>
      <c r="B19" s="4" t="s">
        <v>1</v>
      </c>
      <c r="C19" s="1" t="s">
        <v>274</v>
      </c>
      <c r="D19" s="1" t="s">
        <v>274</v>
      </c>
      <c r="E19" s="1" t="s">
        <v>274</v>
      </c>
      <c r="F19" s="1" t="s">
        <v>274</v>
      </c>
      <c r="G19" s="1" t="s">
        <v>274</v>
      </c>
      <c r="H19" s="1" t="s">
        <v>274</v>
      </c>
      <c r="I19" s="1" t="s">
        <v>274</v>
      </c>
      <c r="J19" s="1" t="s">
        <v>274</v>
      </c>
      <c r="K19" s="1" t="s">
        <v>274</v>
      </c>
      <c r="L19" s="1" t="s">
        <v>276</v>
      </c>
    </row>
    <row r="20" spans="1:12">
      <c r="A20" s="6" t="s">
        <v>3</v>
      </c>
      <c r="B20" s="7" t="s">
        <v>4</v>
      </c>
      <c r="C20" s="8">
        <v>45175</v>
      </c>
      <c r="D20" s="8">
        <v>45175</v>
      </c>
      <c r="E20" s="8">
        <v>45176</v>
      </c>
      <c r="F20" s="8">
        <v>45176</v>
      </c>
      <c r="G20" s="8">
        <v>45176</v>
      </c>
      <c r="H20" s="8">
        <v>45177</v>
      </c>
      <c r="I20" s="8">
        <v>45177</v>
      </c>
      <c r="J20" s="8">
        <v>45177</v>
      </c>
      <c r="K20" s="8">
        <v>45185</v>
      </c>
      <c r="L20" s="8">
        <v>45169</v>
      </c>
    </row>
    <row r="21" spans="1:12">
      <c r="A21" s="6" t="s">
        <v>5</v>
      </c>
      <c r="B21" s="7" t="s">
        <v>6</v>
      </c>
      <c r="C21" s="29">
        <v>22.1</v>
      </c>
      <c r="D21" s="29">
        <v>22.05</v>
      </c>
      <c r="E21" s="29">
        <v>22.05</v>
      </c>
      <c r="F21" s="29">
        <v>22</v>
      </c>
      <c r="G21" s="29">
        <v>21.95</v>
      </c>
      <c r="H21" s="29">
        <v>21.95</v>
      </c>
      <c r="I21" s="29">
        <v>21.9</v>
      </c>
      <c r="J21" s="66">
        <v>21.9</v>
      </c>
      <c r="K21" s="66">
        <v>21.95</v>
      </c>
      <c r="L21" s="66">
        <v>-1.8454767999999999</v>
      </c>
    </row>
    <row r="22" spans="1:12" ht="17.25" thickBot="1">
      <c r="A22" s="72" t="s">
        <v>7</v>
      </c>
      <c r="B22" s="73" t="s">
        <v>8</v>
      </c>
      <c r="C22" s="74">
        <v>10</v>
      </c>
      <c r="D22" s="74">
        <v>10</v>
      </c>
      <c r="E22" s="74">
        <v>10</v>
      </c>
      <c r="F22" s="74">
        <v>10</v>
      </c>
      <c r="G22" s="74">
        <v>10</v>
      </c>
      <c r="H22" s="74">
        <v>10</v>
      </c>
      <c r="I22" s="74">
        <v>10</v>
      </c>
      <c r="J22" s="93">
        <v>10</v>
      </c>
      <c r="K22" s="93">
        <v>2</v>
      </c>
      <c r="L22" s="93">
        <v>162</v>
      </c>
    </row>
    <row r="23" spans="1:12">
      <c r="A23" s="78" t="s">
        <v>9</v>
      </c>
      <c r="B23" s="79" t="s">
        <v>10</v>
      </c>
      <c r="C23" s="80">
        <f>C21*C22*1000</f>
        <v>221000</v>
      </c>
      <c r="D23" s="80">
        <f t="shared" ref="D23:K23" si="6">D21*D22*1000</f>
        <v>220500</v>
      </c>
      <c r="E23" s="80">
        <f t="shared" si="6"/>
        <v>220500</v>
      </c>
      <c r="F23" s="80">
        <f t="shared" si="6"/>
        <v>220000</v>
      </c>
      <c r="G23" s="80">
        <f t="shared" si="6"/>
        <v>219500</v>
      </c>
      <c r="H23" s="80">
        <f t="shared" si="6"/>
        <v>219500</v>
      </c>
      <c r="I23" s="80">
        <f t="shared" si="6"/>
        <v>219000</v>
      </c>
      <c r="J23" s="80">
        <f t="shared" si="6"/>
        <v>219000</v>
      </c>
      <c r="K23" s="80">
        <f t="shared" si="6"/>
        <v>43900</v>
      </c>
      <c r="L23" s="80">
        <f>L21*L22*1000</f>
        <v>-298967.24159999995</v>
      </c>
    </row>
    <row r="24" spans="1:12">
      <c r="A24" s="32" t="s">
        <v>11</v>
      </c>
      <c r="B24" s="61" t="s">
        <v>12</v>
      </c>
      <c r="C24" s="33">
        <f>ROUNDDOWN(+C23*0.001425*0.45,0)</f>
        <v>141</v>
      </c>
      <c r="D24" s="33">
        <f t="shared" ref="D24:K24" si="7">ROUNDDOWN(+D23*0.001425*0.45,0)</f>
        <v>141</v>
      </c>
      <c r="E24" s="33">
        <f t="shared" si="7"/>
        <v>141</v>
      </c>
      <c r="F24" s="33">
        <f t="shared" si="7"/>
        <v>141</v>
      </c>
      <c r="G24" s="33">
        <f t="shared" si="7"/>
        <v>140</v>
      </c>
      <c r="H24" s="33">
        <f t="shared" si="7"/>
        <v>140</v>
      </c>
      <c r="I24" s="33">
        <f t="shared" si="7"/>
        <v>140</v>
      </c>
      <c r="J24" s="33">
        <f t="shared" si="7"/>
        <v>140</v>
      </c>
      <c r="K24" s="33">
        <f t="shared" si="7"/>
        <v>28</v>
      </c>
      <c r="L24" s="31">
        <v>10</v>
      </c>
    </row>
    <row r="25" spans="1:12">
      <c r="A25" s="32" t="s">
        <v>13</v>
      </c>
      <c r="B25" s="61" t="s">
        <v>14</v>
      </c>
      <c r="C25" s="33"/>
      <c r="D25" s="33"/>
      <c r="E25" s="33"/>
      <c r="F25" s="33"/>
      <c r="G25" s="33"/>
      <c r="H25" s="33"/>
      <c r="I25" s="33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3"/>
      <c r="E26" s="33"/>
      <c r="F26" s="33"/>
      <c r="G26" s="33"/>
      <c r="H26" s="33"/>
      <c r="I26" s="33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SUM(C23:C26)</f>
        <v>221141</v>
      </c>
      <c r="D27" s="83">
        <f t="shared" ref="D27:L27" si="8">SUM(D23:D26)</f>
        <v>220641</v>
      </c>
      <c r="E27" s="83">
        <f t="shared" si="8"/>
        <v>220641</v>
      </c>
      <c r="F27" s="83">
        <f t="shared" si="8"/>
        <v>220141</v>
      </c>
      <c r="G27" s="83">
        <f t="shared" si="8"/>
        <v>219640</v>
      </c>
      <c r="H27" s="83">
        <f t="shared" si="8"/>
        <v>219640</v>
      </c>
      <c r="I27" s="83">
        <f t="shared" si="8"/>
        <v>219140</v>
      </c>
      <c r="J27" s="83">
        <f t="shared" si="8"/>
        <v>219140</v>
      </c>
      <c r="K27" s="83">
        <f t="shared" si="8"/>
        <v>43928</v>
      </c>
      <c r="L27" s="83">
        <f t="shared" si="8"/>
        <v>-298957.24159999995</v>
      </c>
    </row>
    <row r="28" spans="1:12">
      <c r="A28" s="75" t="s">
        <v>19</v>
      </c>
      <c r="B28" s="76" t="s">
        <v>20</v>
      </c>
      <c r="C28" s="77">
        <f>C27+L11</f>
        <v>1982416</v>
      </c>
      <c r="D28" s="77">
        <f>D27+C28</f>
        <v>2203057</v>
      </c>
      <c r="E28" s="77">
        <f t="shared" ref="E28:L28" si="9">E27+D28</f>
        <v>2423698</v>
      </c>
      <c r="F28" s="77">
        <f t="shared" si="9"/>
        <v>2643839</v>
      </c>
      <c r="G28" s="77">
        <f t="shared" si="9"/>
        <v>2863479</v>
      </c>
      <c r="H28" s="77">
        <f t="shared" si="9"/>
        <v>3083119</v>
      </c>
      <c r="I28" s="77">
        <f t="shared" si="9"/>
        <v>3302259</v>
      </c>
      <c r="J28" s="77">
        <f t="shared" si="9"/>
        <v>3521399</v>
      </c>
      <c r="K28" s="77">
        <f t="shared" si="9"/>
        <v>3565327</v>
      </c>
      <c r="L28" s="77">
        <f t="shared" si="9"/>
        <v>3266369.7584000002</v>
      </c>
    </row>
    <row r="29" spans="1:12">
      <c r="A29" s="6" t="s">
        <v>21</v>
      </c>
      <c r="B29" s="18" t="s">
        <v>22</v>
      </c>
      <c r="C29" s="19">
        <f>C22+L12</f>
        <v>90</v>
      </c>
      <c r="D29" s="26">
        <f>C29+D22</f>
        <v>100</v>
      </c>
      <c r="E29" s="26">
        <f t="shared" ref="E29:K29" si="10">D29+E22</f>
        <v>110</v>
      </c>
      <c r="F29" s="26">
        <f t="shared" si="10"/>
        <v>120</v>
      </c>
      <c r="G29" s="26">
        <f t="shared" si="10"/>
        <v>130</v>
      </c>
      <c r="H29" s="26">
        <f t="shared" si="10"/>
        <v>140</v>
      </c>
      <c r="I29" s="26">
        <f t="shared" si="10"/>
        <v>150</v>
      </c>
      <c r="J29" s="26">
        <f t="shared" si="10"/>
        <v>160</v>
      </c>
      <c r="K29" s="26">
        <f t="shared" si="10"/>
        <v>162</v>
      </c>
      <c r="L29" s="17">
        <f>L22</f>
        <v>162</v>
      </c>
    </row>
    <row r="30" spans="1:12">
      <c r="A30" s="6" t="s">
        <v>23</v>
      </c>
      <c r="B30" s="7" t="s">
        <v>24</v>
      </c>
      <c r="C30" s="35">
        <f>+C28/C29/1000</f>
        <v>22.026844444444443</v>
      </c>
      <c r="D30" s="35">
        <f t="shared" ref="D30:L30" si="11">+D28/D29/1000</f>
        <v>22.030570000000001</v>
      </c>
      <c r="E30" s="35">
        <f t="shared" si="11"/>
        <v>22.033618181818184</v>
      </c>
      <c r="F30" s="35">
        <f t="shared" si="11"/>
        <v>22.031991666666666</v>
      </c>
      <c r="G30" s="35">
        <f t="shared" si="11"/>
        <v>22.026761538461539</v>
      </c>
      <c r="H30" s="35">
        <f t="shared" si="11"/>
        <v>22.022278571428572</v>
      </c>
      <c r="I30" s="35">
        <f t="shared" si="11"/>
        <v>22.015060000000002</v>
      </c>
      <c r="J30" s="35">
        <f t="shared" si="11"/>
        <v>22.008743750000001</v>
      </c>
      <c r="K30" s="35">
        <f t="shared" si="11"/>
        <v>22.008191358024693</v>
      </c>
      <c r="L30" s="35">
        <f t="shared" si="11"/>
        <v>20.162776286419753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/>
      <c r="L32" s="23">
        <v>1.8454999999999999</v>
      </c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4" spans="1:12" ht="9" customHeight="1"/>
    <row r="35" spans="1:12">
      <c r="A35" s="438" t="s">
        <v>263</v>
      </c>
      <c r="B35" s="439"/>
      <c r="C35" s="1" t="s">
        <v>230</v>
      </c>
      <c r="D35" s="1" t="s">
        <v>289</v>
      </c>
      <c r="E35" s="1" t="s">
        <v>290</v>
      </c>
      <c r="F35" s="1" t="s">
        <v>291</v>
      </c>
      <c r="G35" s="1" t="s">
        <v>286</v>
      </c>
      <c r="H35" s="1" t="s">
        <v>529</v>
      </c>
      <c r="I35" s="1" t="s">
        <v>596</v>
      </c>
      <c r="J35" s="1" t="s">
        <v>597</v>
      </c>
      <c r="K35" s="1" t="s">
        <v>598</v>
      </c>
      <c r="L35" s="1" t="s">
        <v>599</v>
      </c>
    </row>
    <row r="36" spans="1:12">
      <c r="A36" s="3" t="s">
        <v>0</v>
      </c>
      <c r="B36" s="4" t="s">
        <v>1</v>
      </c>
      <c r="C36" s="1" t="s">
        <v>275</v>
      </c>
      <c r="D36" s="1" t="s">
        <v>292</v>
      </c>
      <c r="E36" s="1" t="s">
        <v>292</v>
      </c>
      <c r="F36" s="1" t="s">
        <v>292</v>
      </c>
      <c r="G36" s="1" t="s">
        <v>293</v>
      </c>
      <c r="H36" s="1" t="s">
        <v>592</v>
      </c>
      <c r="I36" s="1" t="s">
        <v>593</v>
      </c>
      <c r="J36" s="1" t="s">
        <v>595</v>
      </c>
      <c r="K36" s="1" t="s">
        <v>595</v>
      </c>
      <c r="L36" s="1" t="s">
        <v>595</v>
      </c>
    </row>
    <row r="37" spans="1:12">
      <c r="A37" s="6" t="s">
        <v>3</v>
      </c>
      <c r="B37" s="7" t="s">
        <v>4</v>
      </c>
      <c r="C37" s="8">
        <v>45169</v>
      </c>
      <c r="D37" s="8" t="s">
        <v>294</v>
      </c>
      <c r="E37" s="8" t="s">
        <v>295</v>
      </c>
      <c r="F37" s="8" t="s">
        <v>295</v>
      </c>
      <c r="G37" s="8" t="s">
        <v>296</v>
      </c>
      <c r="H37" s="8" t="s">
        <v>588</v>
      </c>
      <c r="I37" s="8" t="s">
        <v>594</v>
      </c>
      <c r="J37" s="8" t="s">
        <v>594</v>
      </c>
      <c r="K37" s="8" t="s">
        <v>594</v>
      </c>
      <c r="L37" s="8" t="s">
        <v>594</v>
      </c>
    </row>
    <row r="38" spans="1:12">
      <c r="A38" s="6" t="s">
        <v>5</v>
      </c>
      <c r="B38" s="7" t="s">
        <v>6</v>
      </c>
      <c r="C38" s="66">
        <v>-1.8454767999999999</v>
      </c>
      <c r="D38" s="66">
        <v>33.5</v>
      </c>
      <c r="E38" s="30">
        <v>34.799999999999997</v>
      </c>
      <c r="F38" s="96">
        <v>36</v>
      </c>
      <c r="G38" s="30">
        <v>-2.49323848</v>
      </c>
      <c r="H38" s="6">
        <v>39.1</v>
      </c>
      <c r="I38" s="6">
        <v>39.6</v>
      </c>
      <c r="J38" s="6">
        <v>39.799999999999997</v>
      </c>
      <c r="K38" s="6">
        <v>40.200000000000003</v>
      </c>
      <c r="L38" s="6">
        <v>40.5</v>
      </c>
    </row>
    <row r="39" spans="1:12" ht="17.25" thickBot="1">
      <c r="A39" s="72" t="s">
        <v>7</v>
      </c>
      <c r="B39" s="73" t="s">
        <v>8</v>
      </c>
      <c r="C39" s="93">
        <v>162</v>
      </c>
      <c r="D39" s="93">
        <v>-7</v>
      </c>
      <c r="E39" s="90">
        <v>-5</v>
      </c>
      <c r="F39" s="91">
        <v>-5</v>
      </c>
      <c r="G39" s="91">
        <v>145</v>
      </c>
      <c r="H39" s="72">
        <v>-10</v>
      </c>
      <c r="I39" s="72">
        <v>-2</v>
      </c>
      <c r="J39" s="72">
        <v>-2</v>
      </c>
      <c r="K39" s="72">
        <v>-2</v>
      </c>
      <c r="L39" s="72">
        <v>-3</v>
      </c>
    </row>
    <row r="40" spans="1:12">
      <c r="A40" s="78" t="s">
        <v>9</v>
      </c>
      <c r="B40" s="79" t="s">
        <v>10</v>
      </c>
      <c r="C40" s="80">
        <v>-298967.24159999995</v>
      </c>
      <c r="D40" s="80">
        <f t="shared" ref="D40:G40" si="12">+D38*D39*1000</f>
        <v>-234500</v>
      </c>
      <c r="E40" s="80">
        <f t="shared" si="12"/>
        <v>-174000</v>
      </c>
      <c r="F40" s="80">
        <f t="shared" si="12"/>
        <v>-180000</v>
      </c>
      <c r="G40" s="80">
        <f>ROUNDDOWN(+G38*G39*1000,0)</f>
        <v>-361519</v>
      </c>
      <c r="H40" s="80">
        <f t="shared" ref="H40" si="13">+H38*H39*1000</f>
        <v>-391000</v>
      </c>
      <c r="I40" s="80">
        <f t="shared" ref="I40:L40" si="14">+I38*I39*1000</f>
        <v>-79200</v>
      </c>
      <c r="J40" s="80">
        <f t="shared" si="14"/>
        <v>-79600</v>
      </c>
      <c r="K40" s="80">
        <f t="shared" si="14"/>
        <v>-80400</v>
      </c>
      <c r="L40" s="80">
        <f t="shared" si="14"/>
        <v>-121500</v>
      </c>
    </row>
    <row r="41" spans="1:12">
      <c r="A41" s="32" t="s">
        <v>11</v>
      </c>
      <c r="B41" s="61" t="s">
        <v>12</v>
      </c>
      <c r="C41" s="33">
        <v>10</v>
      </c>
      <c r="D41" s="33">
        <f>ROUNDDOWN(ABS(D40)*0.001425*0.45,0)</f>
        <v>150</v>
      </c>
      <c r="E41" s="33">
        <f t="shared" ref="E41:F41" si="15">ROUNDDOWN(ABS(E40)*0.001425*0.45,0)</f>
        <v>111</v>
      </c>
      <c r="F41" s="33">
        <f t="shared" si="15"/>
        <v>115</v>
      </c>
      <c r="G41" s="33">
        <v>10</v>
      </c>
      <c r="H41" s="33">
        <f>ROUNDDOWN(ABS(H40)*0.001425*0.45,0)</f>
        <v>250</v>
      </c>
      <c r="I41" s="33">
        <f t="shared" ref="I41:L41" si="16">ROUNDDOWN(ABS(I40)*0.001425*0.45,0)</f>
        <v>50</v>
      </c>
      <c r="J41" s="33">
        <f t="shared" si="16"/>
        <v>51</v>
      </c>
      <c r="K41" s="33">
        <f t="shared" si="16"/>
        <v>51</v>
      </c>
      <c r="L41" s="33">
        <f t="shared" si="16"/>
        <v>77</v>
      </c>
    </row>
    <row r="42" spans="1:12">
      <c r="A42" s="32" t="s">
        <v>13</v>
      </c>
      <c r="B42" s="61" t="s">
        <v>14</v>
      </c>
      <c r="C42" s="33"/>
      <c r="D42" s="33">
        <f>-ROUNDDOWN(D40*3/1000,0)</f>
        <v>703</v>
      </c>
      <c r="E42" s="33">
        <f t="shared" ref="E42:F42" si="17">-ROUNDDOWN(E40*3/1000,0)</f>
        <v>522</v>
      </c>
      <c r="F42" s="33">
        <f t="shared" si="17"/>
        <v>540</v>
      </c>
      <c r="G42" s="33"/>
      <c r="H42" s="33">
        <f t="shared" ref="H42" si="18">-ROUNDDOWN(H40*3/1000,0)</f>
        <v>1173</v>
      </c>
      <c r="I42" s="33">
        <f t="shared" ref="I42:L42" si="19">-ROUNDDOWN(I40*3/1000,0)</f>
        <v>237</v>
      </c>
      <c r="J42" s="33">
        <f t="shared" si="19"/>
        <v>238</v>
      </c>
      <c r="K42" s="33">
        <f t="shared" si="19"/>
        <v>241</v>
      </c>
      <c r="L42" s="33">
        <f t="shared" si="19"/>
        <v>364</v>
      </c>
    </row>
    <row r="43" spans="1:12">
      <c r="A43" s="32" t="s">
        <v>15</v>
      </c>
      <c r="B43" s="62" t="s">
        <v>16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ht="17.25" thickBot="1">
      <c r="A44" s="81" t="s">
        <v>17</v>
      </c>
      <c r="B44" s="82" t="s">
        <v>18</v>
      </c>
      <c r="C44" s="83">
        <v>-298957.24159999995</v>
      </c>
      <c r="D44" s="83">
        <f>SUM(D40:D43)</f>
        <v>-233647</v>
      </c>
      <c r="E44" s="83">
        <f t="shared" ref="E44:G44" si="20">SUM(E40:E43)</f>
        <v>-173367</v>
      </c>
      <c r="F44" s="83">
        <f t="shared" si="20"/>
        <v>-179345</v>
      </c>
      <c r="G44" s="83">
        <f t="shared" si="20"/>
        <v>-361509</v>
      </c>
      <c r="H44" s="83">
        <f t="shared" ref="H44" si="21">SUM(H40:H43)</f>
        <v>-389577</v>
      </c>
      <c r="I44" s="83">
        <f t="shared" ref="I44:L44" si="22">SUM(I40:I43)</f>
        <v>-78913</v>
      </c>
      <c r="J44" s="83">
        <f t="shared" si="22"/>
        <v>-79311</v>
      </c>
      <c r="K44" s="83">
        <f t="shared" si="22"/>
        <v>-80108</v>
      </c>
      <c r="L44" s="83">
        <f t="shared" si="22"/>
        <v>-121059</v>
      </c>
    </row>
    <row r="45" spans="1:12">
      <c r="A45" s="75" t="s">
        <v>19</v>
      </c>
      <c r="B45" s="76" t="s">
        <v>20</v>
      </c>
      <c r="C45" s="77">
        <v>3266369.7584000002</v>
      </c>
      <c r="D45" s="77">
        <f>C45+D44</f>
        <v>3032722.7584000002</v>
      </c>
      <c r="E45" s="77">
        <f t="shared" ref="E45:F45" si="23">D45+E44</f>
        <v>2859355.7584000002</v>
      </c>
      <c r="F45" s="77">
        <f t="shared" si="23"/>
        <v>2680010.7584000002</v>
      </c>
      <c r="G45" s="77">
        <f>F45+G44</f>
        <v>2318501.7584000002</v>
      </c>
      <c r="H45" s="77">
        <f>G45+H44</f>
        <v>1928924.7584000002</v>
      </c>
      <c r="I45" s="77">
        <f>H45+I44</f>
        <v>1850011.7584000002</v>
      </c>
      <c r="J45" s="77">
        <f t="shared" ref="J45:L45" si="24">I45+J44</f>
        <v>1770700.7584000002</v>
      </c>
      <c r="K45" s="77">
        <f t="shared" si="24"/>
        <v>1690592.7584000002</v>
      </c>
      <c r="L45" s="77">
        <f t="shared" si="24"/>
        <v>1569533.7584000002</v>
      </c>
    </row>
    <row r="46" spans="1:12">
      <c r="A46" s="6" t="s">
        <v>21</v>
      </c>
      <c r="B46" s="18" t="s">
        <v>22</v>
      </c>
      <c r="C46" s="95">
        <v>162</v>
      </c>
      <c r="D46" s="95">
        <f>D39+C46</f>
        <v>155</v>
      </c>
      <c r="E46" s="95">
        <f>E39+D46</f>
        <v>150</v>
      </c>
      <c r="F46" s="95">
        <f>F39+E46</f>
        <v>145</v>
      </c>
      <c r="G46" s="19">
        <f>G39</f>
        <v>145</v>
      </c>
      <c r="H46" s="19">
        <f>G46+H39</f>
        <v>135</v>
      </c>
      <c r="I46" s="19">
        <f>H46+I39</f>
        <v>133</v>
      </c>
      <c r="J46" s="19">
        <f t="shared" ref="J46:K46" si="25">I46+J39</f>
        <v>131</v>
      </c>
      <c r="K46" s="19">
        <f t="shared" si="25"/>
        <v>129</v>
      </c>
      <c r="L46" s="19">
        <f>K46+L39</f>
        <v>126</v>
      </c>
    </row>
    <row r="47" spans="1:12">
      <c r="A47" s="6" t="s">
        <v>23</v>
      </c>
      <c r="B47" s="7" t="s">
        <v>24</v>
      </c>
      <c r="C47" s="44">
        <v>20.162776286419753</v>
      </c>
      <c r="D47" s="44">
        <f t="shared" ref="D47" si="26">+D45/D46/1000</f>
        <v>19.565953280000002</v>
      </c>
      <c r="E47" s="44">
        <f t="shared" ref="E47" si="27">+E45/E46/1000</f>
        <v>19.062371722666668</v>
      </c>
      <c r="F47" s="44">
        <f t="shared" ref="F47:G47" si="28">+F45/F46/1000</f>
        <v>18.482832816551728</v>
      </c>
      <c r="G47" s="44">
        <f t="shared" si="28"/>
        <v>15.989667299310346</v>
      </c>
      <c r="H47" s="20">
        <f t="shared" ref="H47" si="29">+H45/H46/1000</f>
        <v>14.288331543703706</v>
      </c>
      <c r="I47" s="34">
        <f t="shared" ref="I47:L47" si="30">+I45/I46/1000</f>
        <v>13.909862845112782</v>
      </c>
      <c r="J47" s="34">
        <f t="shared" si="30"/>
        <v>13.51679968244275</v>
      </c>
      <c r="K47" s="34">
        <f t="shared" si="30"/>
        <v>13.10537022015504</v>
      </c>
      <c r="L47" s="34">
        <f t="shared" si="30"/>
        <v>12.456617130158731</v>
      </c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66">
        <v>1.8454999999999999</v>
      </c>
      <c r="D49" s="6"/>
      <c r="E49" s="21"/>
      <c r="F49" s="21"/>
      <c r="G49" s="97">
        <v>2.4931999999999999</v>
      </c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 t="s">
        <v>297</v>
      </c>
      <c r="H50" s="6"/>
      <c r="I50" s="6"/>
      <c r="J50" s="6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8" t="s">
        <v>263</v>
      </c>
      <c r="B52" s="439"/>
      <c r="C52" s="1" t="s">
        <v>600</v>
      </c>
      <c r="D52" s="1" t="s">
        <v>606</v>
      </c>
      <c r="E52" s="1" t="s">
        <v>211</v>
      </c>
      <c r="F52" s="1" t="s">
        <v>610</v>
      </c>
      <c r="G52" s="1" t="s">
        <v>613</v>
      </c>
      <c r="H52" s="1" t="s">
        <v>220</v>
      </c>
      <c r="I52" s="1" t="s">
        <v>614</v>
      </c>
      <c r="J52" s="1" t="s">
        <v>615</v>
      </c>
      <c r="K52" s="1" t="s">
        <v>616</v>
      </c>
      <c r="L52" s="1" t="s">
        <v>620</v>
      </c>
    </row>
    <row r="53" spans="1:12">
      <c r="A53" s="3" t="s">
        <v>0</v>
      </c>
      <c r="B53" s="4" t="s">
        <v>1</v>
      </c>
      <c r="C53" s="1" t="s">
        <v>595</v>
      </c>
      <c r="D53" s="1" t="s">
        <v>607</v>
      </c>
      <c r="E53" s="1" t="s">
        <v>607</v>
      </c>
      <c r="F53" s="1" t="s">
        <v>611</v>
      </c>
      <c r="G53" s="1" t="s">
        <v>618</v>
      </c>
      <c r="H53" s="1" t="s">
        <v>618</v>
      </c>
      <c r="I53" s="1" t="s">
        <v>618</v>
      </c>
      <c r="J53" s="1" t="s">
        <v>618</v>
      </c>
      <c r="K53" s="1" t="s">
        <v>618</v>
      </c>
      <c r="L53" s="1" t="s">
        <v>621</v>
      </c>
    </row>
    <row r="54" spans="1:12">
      <c r="A54" s="6" t="s">
        <v>3</v>
      </c>
      <c r="B54" s="7" t="s">
        <v>4</v>
      </c>
      <c r="C54" s="8" t="s">
        <v>601</v>
      </c>
      <c r="D54" s="8" t="s">
        <v>608</v>
      </c>
      <c r="E54" s="8" t="s">
        <v>608</v>
      </c>
      <c r="F54" s="8" t="s">
        <v>612</v>
      </c>
      <c r="G54" s="8" t="s">
        <v>619</v>
      </c>
      <c r="H54" s="8" t="s">
        <v>619</v>
      </c>
      <c r="I54" s="8" t="s">
        <v>619</v>
      </c>
      <c r="J54" s="8" t="s">
        <v>619</v>
      </c>
      <c r="K54" s="8" t="s">
        <v>619</v>
      </c>
      <c r="L54" s="8" t="s">
        <v>622</v>
      </c>
    </row>
    <row r="55" spans="1:12">
      <c r="A55" s="6" t="s">
        <v>5</v>
      </c>
      <c r="B55" s="7" t="s">
        <v>6</v>
      </c>
      <c r="C55" s="6">
        <v>40.1</v>
      </c>
      <c r="D55" s="29">
        <v>39.450000000000003</v>
      </c>
      <c r="E55" s="29">
        <v>40.299999999999997</v>
      </c>
      <c r="F55" s="29">
        <v>40.450000000000003</v>
      </c>
      <c r="G55" s="29">
        <v>40.450000000000003</v>
      </c>
      <c r="H55" s="29">
        <v>40.5</v>
      </c>
      <c r="I55" s="29">
        <v>40.549999999999997</v>
      </c>
      <c r="J55" s="66">
        <v>40.65</v>
      </c>
      <c r="K55" s="66">
        <v>40.75</v>
      </c>
      <c r="L55" s="66">
        <v>41.2</v>
      </c>
    </row>
    <row r="56" spans="1:12" ht="17.25" thickBot="1">
      <c r="A56" s="72" t="s">
        <v>7</v>
      </c>
      <c r="B56" s="73" t="s">
        <v>8</v>
      </c>
      <c r="C56" s="72">
        <v>-2</v>
      </c>
      <c r="D56" s="74">
        <v>-5</v>
      </c>
      <c r="E56" s="74">
        <v>-5</v>
      </c>
      <c r="F56" s="74">
        <v>-1</v>
      </c>
      <c r="G56" s="74">
        <v>-2</v>
      </c>
      <c r="H56" s="74">
        <v>-1</v>
      </c>
      <c r="I56" s="74">
        <v>-1</v>
      </c>
      <c r="J56" s="74">
        <v>-1</v>
      </c>
      <c r="K56" s="93">
        <v>-1</v>
      </c>
      <c r="L56" s="93">
        <v>-1</v>
      </c>
    </row>
    <row r="57" spans="1:12">
      <c r="A57" s="78" t="s">
        <v>9</v>
      </c>
      <c r="B57" s="79" t="s">
        <v>10</v>
      </c>
      <c r="C57" s="80">
        <f t="shared" ref="C57:E57" si="31">+C55*C56*1000</f>
        <v>-80200</v>
      </c>
      <c r="D57" s="80">
        <f t="shared" si="31"/>
        <v>-197250</v>
      </c>
      <c r="E57" s="80">
        <f t="shared" si="31"/>
        <v>-201500</v>
      </c>
      <c r="F57" s="80">
        <f t="shared" ref="F57:K57" si="32">+F55*F56*1000</f>
        <v>-40450</v>
      </c>
      <c r="G57" s="80">
        <f t="shared" si="32"/>
        <v>-80900</v>
      </c>
      <c r="H57" s="80">
        <f t="shared" si="32"/>
        <v>-40500</v>
      </c>
      <c r="I57" s="80">
        <f t="shared" si="32"/>
        <v>-40550</v>
      </c>
      <c r="J57" s="80">
        <f t="shared" si="32"/>
        <v>-40650</v>
      </c>
      <c r="K57" s="80">
        <f t="shared" si="32"/>
        <v>-40750</v>
      </c>
      <c r="L57" s="80">
        <f t="shared" ref="L57" si="33">+L55*L56*1000</f>
        <v>-41200</v>
      </c>
    </row>
    <row r="58" spans="1:12">
      <c r="A58" s="32" t="s">
        <v>11</v>
      </c>
      <c r="B58" s="61" t="s">
        <v>12</v>
      </c>
      <c r="C58" s="33">
        <f>ROUNDDOWN(-+C57*0.001425*0.45,0)</f>
        <v>51</v>
      </c>
      <c r="D58" s="33">
        <f t="shared" ref="D58:L58" si="34">ROUNDDOWN(-+D57*0.001425*0.45,0)</f>
        <v>126</v>
      </c>
      <c r="E58" s="33">
        <f t="shared" si="34"/>
        <v>129</v>
      </c>
      <c r="F58" s="33">
        <f t="shared" si="34"/>
        <v>25</v>
      </c>
      <c r="G58" s="33">
        <f t="shared" si="34"/>
        <v>51</v>
      </c>
      <c r="H58" s="33">
        <f t="shared" si="34"/>
        <v>25</v>
      </c>
      <c r="I58" s="33">
        <f t="shared" si="34"/>
        <v>26</v>
      </c>
      <c r="J58" s="33">
        <f t="shared" si="34"/>
        <v>26</v>
      </c>
      <c r="K58" s="33">
        <f t="shared" si="34"/>
        <v>26</v>
      </c>
      <c r="L58" s="33">
        <f t="shared" si="34"/>
        <v>26</v>
      </c>
    </row>
    <row r="59" spans="1:12">
      <c r="A59" s="32" t="s">
        <v>13</v>
      </c>
      <c r="B59" s="61" t="s">
        <v>14</v>
      </c>
      <c r="C59" s="33">
        <f t="shared" ref="C59:E59" si="35">-ROUNDDOWN(C57*3/1000,0)</f>
        <v>240</v>
      </c>
      <c r="D59" s="33">
        <f t="shared" si="35"/>
        <v>591</v>
      </c>
      <c r="E59" s="33">
        <f t="shared" si="35"/>
        <v>604</v>
      </c>
      <c r="F59" s="33">
        <f t="shared" ref="F59:K59" si="36">-ROUNDDOWN(F57*3/1000,0)</f>
        <v>121</v>
      </c>
      <c r="G59" s="33">
        <f t="shared" si="36"/>
        <v>242</v>
      </c>
      <c r="H59" s="33">
        <f t="shared" si="36"/>
        <v>121</v>
      </c>
      <c r="I59" s="33">
        <f t="shared" si="36"/>
        <v>121</v>
      </c>
      <c r="J59" s="33">
        <f t="shared" si="36"/>
        <v>121</v>
      </c>
      <c r="K59" s="33">
        <f t="shared" si="36"/>
        <v>122</v>
      </c>
      <c r="L59" s="33">
        <f t="shared" ref="L59" si="37">-ROUNDDOWN(L57*3/1000,0)</f>
        <v>123</v>
      </c>
    </row>
    <row r="60" spans="1:12">
      <c r="A60" s="32" t="s">
        <v>15</v>
      </c>
      <c r="B60" s="62" t="s">
        <v>16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pans="1:12" ht="17.25" thickBot="1">
      <c r="A61" s="81" t="s">
        <v>17</v>
      </c>
      <c r="B61" s="82" t="s">
        <v>18</v>
      </c>
      <c r="C61" s="83">
        <f t="shared" ref="C61:E61" si="38">SUM(C57:C60)</f>
        <v>-79909</v>
      </c>
      <c r="D61" s="83">
        <f t="shared" si="38"/>
        <v>-196533</v>
      </c>
      <c r="E61" s="83">
        <f t="shared" si="38"/>
        <v>-200767</v>
      </c>
      <c r="F61" s="83">
        <f t="shared" ref="F61:K61" si="39">SUM(F57:F60)</f>
        <v>-40304</v>
      </c>
      <c r="G61" s="83">
        <f t="shared" si="39"/>
        <v>-80607</v>
      </c>
      <c r="H61" s="83">
        <f t="shared" si="39"/>
        <v>-40354</v>
      </c>
      <c r="I61" s="83">
        <f t="shared" si="39"/>
        <v>-40403</v>
      </c>
      <c r="J61" s="83">
        <f t="shared" si="39"/>
        <v>-40503</v>
      </c>
      <c r="K61" s="83">
        <f t="shared" si="39"/>
        <v>-40602</v>
      </c>
      <c r="L61" s="83">
        <f t="shared" ref="L61" si="40">SUM(L57:L60)</f>
        <v>-41051</v>
      </c>
    </row>
    <row r="62" spans="1:12">
      <c r="A62" s="75" t="s">
        <v>19</v>
      </c>
      <c r="B62" s="76" t="s">
        <v>20</v>
      </c>
      <c r="C62" s="77">
        <f>L45+C61</f>
        <v>1489624.7584000002</v>
      </c>
      <c r="D62" s="77">
        <f>C62+D61</f>
        <v>1293091.7584000002</v>
      </c>
      <c r="E62" s="77">
        <f>D62+E61</f>
        <v>1092324.7584000002</v>
      </c>
      <c r="F62" s="77">
        <f>E62+F61</f>
        <v>1052020.7584000002</v>
      </c>
      <c r="G62" s="77">
        <f t="shared" ref="G62:L62" si="41">F62+G61</f>
        <v>971413.75840000017</v>
      </c>
      <c r="H62" s="77">
        <f t="shared" si="41"/>
        <v>931059.75840000017</v>
      </c>
      <c r="I62" s="77">
        <f t="shared" si="41"/>
        <v>890656.75840000017</v>
      </c>
      <c r="J62" s="77">
        <f t="shared" si="41"/>
        <v>850153.75840000017</v>
      </c>
      <c r="K62" s="77">
        <f t="shared" si="41"/>
        <v>809551.75840000017</v>
      </c>
      <c r="L62" s="77">
        <f t="shared" si="41"/>
        <v>768500.75840000017</v>
      </c>
    </row>
    <row r="63" spans="1:12">
      <c r="A63" s="6" t="s">
        <v>21</v>
      </c>
      <c r="B63" s="18" t="s">
        <v>22</v>
      </c>
      <c r="C63" s="19">
        <f>L46+C56</f>
        <v>124</v>
      </c>
      <c r="D63" s="19">
        <f>C63+D56</f>
        <v>119</v>
      </c>
      <c r="E63" s="19">
        <f>D63+E56</f>
        <v>114</v>
      </c>
      <c r="F63" s="19">
        <f>E63+F56</f>
        <v>113</v>
      </c>
      <c r="G63" s="19">
        <f t="shared" ref="G63:L63" si="42">F63+G56</f>
        <v>111</v>
      </c>
      <c r="H63" s="19">
        <f t="shared" si="42"/>
        <v>110</v>
      </c>
      <c r="I63" s="19">
        <f t="shared" si="42"/>
        <v>109</v>
      </c>
      <c r="J63" s="19">
        <f t="shared" si="42"/>
        <v>108</v>
      </c>
      <c r="K63" s="19">
        <f t="shared" si="42"/>
        <v>107</v>
      </c>
      <c r="L63" s="19">
        <f t="shared" si="42"/>
        <v>106</v>
      </c>
    </row>
    <row r="64" spans="1:12">
      <c r="A64" s="6" t="s">
        <v>23</v>
      </c>
      <c r="B64" s="7" t="s">
        <v>24</v>
      </c>
      <c r="C64" s="34">
        <f t="shared" ref="C64:E64" si="43">+C62/C63/1000</f>
        <v>12.013102890322582</v>
      </c>
      <c r="D64" s="34">
        <f t="shared" si="43"/>
        <v>10.866317297478993</v>
      </c>
      <c r="E64" s="34">
        <f t="shared" si="43"/>
        <v>9.5817961263157905</v>
      </c>
      <c r="F64" s="34">
        <f t="shared" ref="F64:K64" si="44">+F62/F63/1000</f>
        <v>9.3099182159292049</v>
      </c>
      <c r="G64" s="34">
        <f t="shared" si="44"/>
        <v>8.7514753009009016</v>
      </c>
      <c r="H64" s="34">
        <f t="shared" si="44"/>
        <v>8.4641796218181824</v>
      </c>
      <c r="I64" s="34">
        <f t="shared" si="44"/>
        <v>8.1711629211009189</v>
      </c>
      <c r="J64" s="34">
        <f t="shared" si="44"/>
        <v>7.8717940592592601</v>
      </c>
      <c r="K64" s="34">
        <f t="shared" si="44"/>
        <v>7.5659042841121513</v>
      </c>
      <c r="L64" s="34">
        <f t="shared" ref="L64" si="45">+L62/L63/1000</f>
        <v>7.2500071547169824</v>
      </c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22"/>
      <c r="D66" s="11"/>
      <c r="E66" s="6"/>
      <c r="F66" s="6"/>
      <c r="G66" s="6"/>
      <c r="H66" s="6"/>
      <c r="I66" s="6"/>
      <c r="J66" s="6"/>
      <c r="K66" s="6"/>
      <c r="L66" s="59"/>
    </row>
    <row r="67" spans="1:12">
      <c r="A67" s="6" t="s">
        <v>29</v>
      </c>
      <c r="B67" s="7" t="s">
        <v>30</v>
      </c>
      <c r="C67" s="23"/>
      <c r="D67" s="11"/>
      <c r="E67" s="6"/>
      <c r="F67" s="6"/>
      <c r="G67" s="6"/>
      <c r="H67" s="6"/>
      <c r="I67" s="6"/>
      <c r="J67" s="6"/>
      <c r="K67" s="6"/>
      <c r="L67" s="23"/>
    </row>
    <row r="68" spans="1:12" ht="9" customHeight="1"/>
    <row r="69" spans="1:12">
      <c r="A69" s="438" t="s">
        <v>263</v>
      </c>
      <c r="B69" s="439"/>
      <c r="C69" s="1" t="s">
        <v>623</v>
      </c>
      <c r="D69" s="1" t="s">
        <v>624</v>
      </c>
      <c r="E69" s="1" t="s">
        <v>88</v>
      </c>
      <c r="F69" s="1"/>
      <c r="G69" s="1"/>
      <c r="H69" s="1"/>
      <c r="I69" s="1"/>
      <c r="J69" s="1"/>
      <c r="K69" s="1"/>
      <c r="L69" s="1"/>
    </row>
    <row r="70" spans="1:12">
      <c r="A70" s="3" t="s">
        <v>0</v>
      </c>
      <c r="B70" s="4" t="s">
        <v>1</v>
      </c>
      <c r="C70" s="1" t="s">
        <v>617</v>
      </c>
      <c r="D70" s="1" t="s">
        <v>617</v>
      </c>
      <c r="E70" s="1" t="s">
        <v>592</v>
      </c>
      <c r="F70" s="1"/>
      <c r="G70" s="1"/>
      <c r="H70" s="1"/>
      <c r="I70" s="1"/>
      <c r="J70" s="1"/>
      <c r="K70" s="1"/>
      <c r="L70" s="1"/>
    </row>
    <row r="71" spans="1:12">
      <c r="A71" s="6" t="s">
        <v>3</v>
      </c>
      <c r="B71" s="7" t="s">
        <v>4</v>
      </c>
      <c r="C71" s="8" t="s">
        <v>625</v>
      </c>
      <c r="D71" s="8" t="s">
        <v>626</v>
      </c>
      <c r="E71" s="8" t="s">
        <v>656</v>
      </c>
      <c r="F71" s="8"/>
      <c r="G71" s="8"/>
      <c r="H71" s="8"/>
      <c r="I71" s="8"/>
      <c r="J71" s="8"/>
      <c r="K71" s="8"/>
      <c r="L71" s="8"/>
    </row>
    <row r="72" spans="1:12">
      <c r="A72" s="6" t="s">
        <v>5</v>
      </c>
      <c r="B72" s="7" t="s">
        <v>6</v>
      </c>
      <c r="C72" s="29">
        <v>41.6</v>
      </c>
      <c r="D72" s="29">
        <v>41.8</v>
      </c>
      <c r="E72" s="30">
        <v>-2.0615000000000001</v>
      </c>
      <c r="F72" s="29"/>
      <c r="G72" s="29"/>
      <c r="H72" s="29"/>
      <c r="I72" s="29"/>
      <c r="J72" s="66"/>
      <c r="K72" s="66"/>
      <c r="L72" s="66"/>
    </row>
    <row r="73" spans="1:12" ht="17.25" thickBot="1">
      <c r="A73" s="72" t="s">
        <v>7</v>
      </c>
      <c r="B73" s="73" t="s">
        <v>8</v>
      </c>
      <c r="C73" s="74">
        <v>-2</v>
      </c>
      <c r="D73" s="74">
        <v>-1</v>
      </c>
      <c r="E73" s="91">
        <v>103</v>
      </c>
      <c r="F73" s="74"/>
      <c r="G73" s="74"/>
      <c r="H73" s="74"/>
      <c r="I73" s="74"/>
      <c r="J73" s="92"/>
      <c r="K73" s="93"/>
      <c r="L73" s="93"/>
    </row>
    <row r="74" spans="1:12">
      <c r="A74" s="78" t="s">
        <v>9</v>
      </c>
      <c r="B74" s="79" t="s">
        <v>10</v>
      </c>
      <c r="C74" s="80">
        <f t="shared" ref="C74:D74" si="46">+C72*C73*1000</f>
        <v>-83200</v>
      </c>
      <c r="D74" s="80">
        <f t="shared" si="46"/>
        <v>-41800</v>
      </c>
      <c r="E74" s="80">
        <v>-212331</v>
      </c>
      <c r="F74" s="80"/>
      <c r="G74" s="80"/>
      <c r="H74" s="80"/>
      <c r="I74" s="80"/>
      <c r="J74" s="80"/>
      <c r="K74" s="80"/>
      <c r="L74" s="80"/>
    </row>
    <row r="75" spans="1:12">
      <c r="A75" s="32" t="s">
        <v>11</v>
      </c>
      <c r="B75" s="61" t="s">
        <v>12</v>
      </c>
      <c r="C75" s="33">
        <f t="shared" ref="C75:D75" si="47">-+C74*0.001425*0.45</f>
        <v>53.352000000000004</v>
      </c>
      <c r="D75" s="33">
        <f t="shared" si="47"/>
        <v>26.804250000000003</v>
      </c>
      <c r="E75" s="33"/>
      <c r="F75" s="33"/>
      <c r="G75" s="33"/>
      <c r="H75" s="33"/>
      <c r="I75" s="33"/>
      <c r="J75" s="31"/>
      <c r="K75" s="31"/>
      <c r="L75" s="31"/>
    </row>
    <row r="76" spans="1:12">
      <c r="A76" s="32" t="s">
        <v>13</v>
      </c>
      <c r="B76" s="61" t="s">
        <v>14</v>
      </c>
      <c r="C76" s="33">
        <f t="shared" ref="C76:D76" si="48">-ROUNDDOWN(C74*3/1000,0)</f>
        <v>249</v>
      </c>
      <c r="D76" s="33">
        <f t="shared" si="48"/>
        <v>125</v>
      </c>
      <c r="E76" s="33"/>
      <c r="F76" s="33"/>
      <c r="G76" s="33"/>
      <c r="H76" s="33"/>
      <c r="I76" s="33"/>
      <c r="J76" s="31"/>
      <c r="K76" s="31"/>
      <c r="L76" s="31"/>
    </row>
    <row r="77" spans="1:12">
      <c r="A77" s="32" t="s">
        <v>15</v>
      </c>
      <c r="B77" s="62" t="s">
        <v>16</v>
      </c>
      <c r="C77" s="33"/>
      <c r="D77" s="33"/>
      <c r="E77" s="33"/>
      <c r="F77" s="33"/>
      <c r="G77" s="33"/>
      <c r="H77" s="33"/>
      <c r="I77" s="33"/>
      <c r="J77" s="31"/>
      <c r="K77" s="31"/>
      <c r="L77" s="31"/>
    </row>
    <row r="78" spans="1:12" ht="17.25" thickBot="1">
      <c r="A78" s="81" t="s">
        <v>17</v>
      </c>
      <c r="B78" s="82" t="s">
        <v>18</v>
      </c>
      <c r="C78" s="83">
        <f t="shared" ref="C78:E78" si="49">SUM(C74:C77)</f>
        <v>-82897.648000000001</v>
      </c>
      <c r="D78" s="83">
        <f t="shared" si="49"/>
        <v>-41648.195749999999</v>
      </c>
      <c r="E78" s="83">
        <f t="shared" si="49"/>
        <v>-212331</v>
      </c>
      <c r="F78" s="83"/>
      <c r="G78" s="83"/>
      <c r="H78" s="83"/>
      <c r="I78" s="83"/>
      <c r="J78" s="83"/>
      <c r="K78" s="83"/>
      <c r="L78" s="83"/>
    </row>
    <row r="79" spans="1:12">
      <c r="A79" s="75" t="s">
        <v>19</v>
      </c>
      <c r="B79" s="76" t="s">
        <v>20</v>
      </c>
      <c r="C79" s="77">
        <f>L62+C78</f>
        <v>685603.11040000012</v>
      </c>
      <c r="D79" s="94">
        <f>C79+D78</f>
        <v>643954.91465000017</v>
      </c>
      <c r="E79" s="77">
        <f>D79+E78</f>
        <v>431623.91465000017</v>
      </c>
      <c r="F79" s="94"/>
      <c r="G79" s="94"/>
      <c r="H79" s="94"/>
      <c r="I79" s="94"/>
      <c r="J79" s="77"/>
      <c r="K79" s="77"/>
      <c r="L79" s="77"/>
    </row>
    <row r="80" spans="1:12">
      <c r="A80" s="6" t="s">
        <v>21</v>
      </c>
      <c r="B80" s="18" t="s">
        <v>22</v>
      </c>
      <c r="C80" s="19">
        <f>L63+C73</f>
        <v>104</v>
      </c>
      <c r="D80" s="26">
        <f>C80+D73</f>
        <v>103</v>
      </c>
      <c r="E80" s="19">
        <f>E73</f>
        <v>103</v>
      </c>
      <c r="F80" s="26"/>
      <c r="G80" s="26"/>
      <c r="H80" s="26"/>
      <c r="I80" s="26"/>
      <c r="J80" s="17"/>
      <c r="K80" s="17"/>
      <c r="L80" s="17"/>
    </row>
    <row r="81" spans="1:12">
      <c r="A81" s="6" t="s">
        <v>23</v>
      </c>
      <c r="B81" s="7" t="s">
        <v>24</v>
      </c>
      <c r="C81" s="20">
        <f t="shared" ref="C81:E81" si="50">+C79/C80/1000</f>
        <v>6.5923376000000005</v>
      </c>
      <c r="D81" s="20">
        <f t="shared" si="50"/>
        <v>6.2519894626213608</v>
      </c>
      <c r="E81" s="44">
        <f t="shared" si="50"/>
        <v>4.1905234432038849</v>
      </c>
      <c r="F81" s="20"/>
      <c r="G81" s="20"/>
      <c r="H81" s="20"/>
      <c r="I81" s="20"/>
      <c r="J81" s="45"/>
      <c r="K81" s="45"/>
      <c r="L81" s="45"/>
    </row>
    <row r="82" spans="1:12">
      <c r="A82" s="6" t="s">
        <v>25</v>
      </c>
      <c r="B82" s="7" t="s">
        <v>26</v>
      </c>
      <c r="C82" s="6"/>
      <c r="D82" s="21"/>
      <c r="E82" s="21"/>
      <c r="F82" s="6"/>
      <c r="G82" s="6"/>
      <c r="H82" s="6"/>
      <c r="I82" s="6"/>
      <c r="J82" s="6"/>
      <c r="K82" s="6"/>
      <c r="L82" s="6"/>
    </row>
    <row r="83" spans="1:12">
      <c r="A83" s="6" t="s">
        <v>27</v>
      </c>
      <c r="B83" s="7" t="s">
        <v>28</v>
      </c>
      <c r="C83" s="10"/>
      <c r="D83" s="11"/>
      <c r="E83" s="97">
        <v>2.0615000000000001</v>
      </c>
      <c r="F83" s="6"/>
      <c r="G83" s="6"/>
      <c r="H83" s="6"/>
      <c r="I83" s="6"/>
      <c r="J83" s="6"/>
      <c r="K83" s="6"/>
      <c r="L83" s="59"/>
    </row>
    <row r="84" spans="1:12">
      <c r="A84" s="6" t="s">
        <v>29</v>
      </c>
      <c r="B84" s="7" t="s">
        <v>30</v>
      </c>
      <c r="C84" s="6"/>
      <c r="D84" s="11"/>
      <c r="E84" s="11"/>
      <c r="F84" s="6"/>
      <c r="G84" s="6"/>
      <c r="H84" s="6"/>
      <c r="I84" s="6"/>
      <c r="J84" s="6"/>
      <c r="K84" s="6"/>
      <c r="L84" s="23"/>
    </row>
    <row r="85" spans="1:12">
      <c r="A85" s="24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</row>
    <row r="86" spans="1:12">
      <c r="A86" s="438" t="s">
        <v>263</v>
      </c>
      <c r="B86" s="439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>
      <c r="A87" s="3" t="s">
        <v>0</v>
      </c>
      <c r="B87" s="4" t="s">
        <v>1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>
      <c r="A88" s="6" t="s">
        <v>3</v>
      </c>
      <c r="B88" s="7" t="s">
        <v>4</v>
      </c>
      <c r="C88" s="8"/>
      <c r="D88" s="8"/>
      <c r="E88" s="8"/>
      <c r="F88" s="8"/>
      <c r="G88" s="8"/>
      <c r="H88" s="8"/>
      <c r="I88" s="8"/>
      <c r="J88" s="8"/>
      <c r="K88" s="8"/>
      <c r="L88" s="8"/>
    </row>
    <row r="89" spans="1:12">
      <c r="A89" s="6" t="s">
        <v>5</v>
      </c>
      <c r="B89" s="7" t="s">
        <v>6</v>
      </c>
      <c r="C89" s="6"/>
      <c r="D89" s="29"/>
      <c r="E89" s="29"/>
      <c r="F89" s="29"/>
      <c r="G89" s="29"/>
      <c r="H89" s="29"/>
      <c r="I89" s="29"/>
      <c r="J89" s="66"/>
      <c r="K89" s="66"/>
      <c r="L89" s="66"/>
    </row>
    <row r="90" spans="1:12" ht="17.25" thickBot="1">
      <c r="A90" s="72" t="s">
        <v>7</v>
      </c>
      <c r="B90" s="73" t="s">
        <v>8</v>
      </c>
      <c r="C90" s="72"/>
      <c r="D90" s="74"/>
      <c r="E90" s="74"/>
      <c r="F90" s="74"/>
      <c r="G90" s="74"/>
      <c r="H90" s="74"/>
      <c r="I90" s="74"/>
      <c r="J90" s="92"/>
      <c r="K90" s="93"/>
      <c r="L90" s="93"/>
    </row>
    <row r="91" spans="1:12">
      <c r="A91" s="78" t="s">
        <v>9</v>
      </c>
      <c r="B91" s="79" t="s">
        <v>10</v>
      </c>
      <c r="C91" s="80">
        <f t="shared" ref="C91" si="51">+C89*C90*1000</f>
        <v>0</v>
      </c>
      <c r="D91" s="80"/>
      <c r="E91" s="80"/>
      <c r="F91" s="80"/>
      <c r="G91" s="80"/>
      <c r="H91" s="80"/>
      <c r="I91" s="80"/>
      <c r="J91" s="80"/>
      <c r="K91" s="80"/>
      <c r="L91" s="80"/>
    </row>
    <row r="92" spans="1:12">
      <c r="A92" s="32" t="s">
        <v>11</v>
      </c>
      <c r="B92" s="61" t="s">
        <v>12</v>
      </c>
      <c r="C92" s="33">
        <f t="shared" ref="C92" si="52">-+C91*0.001425*0.45</f>
        <v>0</v>
      </c>
      <c r="D92" s="33"/>
      <c r="E92" s="33"/>
      <c r="F92" s="33"/>
      <c r="G92" s="33"/>
      <c r="H92" s="33"/>
      <c r="I92" s="33"/>
      <c r="J92" s="31"/>
      <c r="K92" s="31"/>
      <c r="L92" s="31"/>
    </row>
    <row r="93" spans="1:12">
      <c r="A93" s="32" t="s">
        <v>13</v>
      </c>
      <c r="B93" s="61" t="s">
        <v>14</v>
      </c>
      <c r="C93" s="33">
        <f t="shared" ref="C93" si="53">-ROUNDDOWN(C91*3/1000,0)</f>
        <v>0</v>
      </c>
      <c r="D93" s="33"/>
      <c r="E93" s="33"/>
      <c r="F93" s="33"/>
      <c r="G93" s="33"/>
      <c r="H93" s="33"/>
      <c r="I93" s="33"/>
      <c r="J93" s="31"/>
      <c r="K93" s="31"/>
      <c r="L93" s="31"/>
    </row>
    <row r="94" spans="1:12">
      <c r="A94" s="32" t="s">
        <v>15</v>
      </c>
      <c r="B94" s="62" t="s">
        <v>16</v>
      </c>
      <c r="C94" s="33"/>
      <c r="D94" s="33"/>
      <c r="E94" s="33"/>
      <c r="F94" s="33"/>
      <c r="G94" s="33"/>
      <c r="H94" s="33"/>
      <c r="I94" s="33"/>
      <c r="J94" s="31"/>
      <c r="K94" s="31"/>
      <c r="L94" s="31"/>
    </row>
    <row r="95" spans="1:12" ht="17.25" thickBot="1">
      <c r="A95" s="81" t="s">
        <v>17</v>
      </c>
      <c r="B95" s="82" t="s">
        <v>18</v>
      </c>
      <c r="C95" s="83">
        <f t="shared" ref="C95" si="54">SUM(C91:C94)</f>
        <v>0</v>
      </c>
      <c r="D95" s="83"/>
      <c r="E95" s="83"/>
      <c r="F95" s="83"/>
      <c r="G95" s="83"/>
      <c r="H95" s="83"/>
      <c r="I95" s="83"/>
      <c r="J95" s="83"/>
      <c r="K95" s="83"/>
      <c r="L95" s="83"/>
    </row>
    <row r="96" spans="1:12">
      <c r="A96" s="75" t="s">
        <v>19</v>
      </c>
      <c r="B96" s="76" t="s">
        <v>20</v>
      </c>
      <c r="C96" s="77">
        <f>L79+C91</f>
        <v>0</v>
      </c>
      <c r="D96" s="94"/>
      <c r="E96" s="94"/>
      <c r="F96" s="94"/>
      <c r="G96" s="94"/>
      <c r="H96" s="94"/>
      <c r="I96" s="94"/>
      <c r="J96" s="77"/>
      <c r="K96" s="77"/>
      <c r="L96" s="77"/>
    </row>
    <row r="97" spans="1:12">
      <c r="A97" s="6" t="s">
        <v>21</v>
      </c>
      <c r="B97" s="18" t="s">
        <v>22</v>
      </c>
      <c r="C97" s="19">
        <f>L80+C90</f>
        <v>0</v>
      </c>
      <c r="D97" s="26"/>
      <c r="E97" s="26"/>
      <c r="F97" s="26"/>
      <c r="G97" s="26"/>
      <c r="H97" s="26"/>
      <c r="I97" s="26"/>
      <c r="J97" s="17"/>
      <c r="K97" s="17"/>
      <c r="L97" s="17"/>
    </row>
    <row r="98" spans="1:12">
      <c r="A98" s="6" t="s">
        <v>23</v>
      </c>
      <c r="B98" s="7" t="s">
        <v>24</v>
      </c>
      <c r="C98" s="34"/>
      <c r="D98" s="20"/>
      <c r="E98" s="20"/>
      <c r="F98" s="20"/>
      <c r="G98" s="20"/>
      <c r="H98" s="20"/>
      <c r="I98" s="20"/>
      <c r="J98" s="45"/>
      <c r="K98" s="45"/>
      <c r="L98" s="45"/>
    </row>
    <row r="99" spans="1:12">
      <c r="A99" s="6" t="s">
        <v>25</v>
      </c>
      <c r="B99" s="7" t="s">
        <v>26</v>
      </c>
      <c r="C99" s="6"/>
      <c r="D99" s="21"/>
      <c r="E99" s="6"/>
      <c r="F99" s="6"/>
      <c r="G99" s="6"/>
      <c r="H99" s="6"/>
      <c r="I99" s="6"/>
      <c r="J99" s="6"/>
      <c r="K99" s="6"/>
      <c r="L99" s="6"/>
    </row>
    <row r="100" spans="1:12">
      <c r="A100" s="6" t="s">
        <v>27</v>
      </c>
      <c r="B100" s="7" t="s">
        <v>28</v>
      </c>
      <c r="C100" s="22"/>
      <c r="D100" s="11"/>
      <c r="E100" s="6"/>
      <c r="F100" s="6"/>
      <c r="G100" s="6"/>
      <c r="H100" s="6"/>
      <c r="I100" s="6"/>
      <c r="J100" s="6"/>
      <c r="K100" s="6"/>
      <c r="L100" s="59"/>
    </row>
    <row r="101" spans="1:12">
      <c r="A101" s="6" t="s">
        <v>29</v>
      </c>
      <c r="B101" s="7" t="s">
        <v>30</v>
      </c>
      <c r="C101" s="23"/>
      <c r="D101" s="11"/>
      <c r="E101" s="6"/>
      <c r="F101" s="6"/>
      <c r="G101" s="6"/>
      <c r="H101" s="6"/>
      <c r="I101" s="6"/>
      <c r="J101" s="6"/>
      <c r="K101" s="6"/>
      <c r="L101" s="23"/>
    </row>
    <row r="102" spans="1:12" ht="9" customHeight="1"/>
  </sheetData>
  <mergeCells count="6">
    <mergeCell ref="A86:B86"/>
    <mergeCell ref="A18:B18"/>
    <mergeCell ref="A1:B1"/>
    <mergeCell ref="A35:B35"/>
    <mergeCell ref="A52:B52"/>
    <mergeCell ref="A69:B69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50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3"/>
  <sheetViews>
    <sheetView zoomScale="115" zoomScaleNormal="115" workbookViewId="0">
      <selection activeCell="H8" sqref="H8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0" t="s">
        <v>350</v>
      </c>
      <c r="B1" s="441"/>
      <c r="C1" s="1" t="s">
        <v>332</v>
      </c>
      <c r="D1" s="1" t="s">
        <v>333</v>
      </c>
      <c r="E1" s="1" t="s">
        <v>334</v>
      </c>
      <c r="F1" s="1" t="s">
        <v>351</v>
      </c>
      <c r="G1" s="1" t="s">
        <v>441</v>
      </c>
      <c r="H1" s="1" t="s">
        <v>580</v>
      </c>
      <c r="I1" s="1" t="s">
        <v>441</v>
      </c>
      <c r="J1" s="1"/>
      <c r="K1" s="1"/>
      <c r="L1" s="1"/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196</v>
      </c>
      <c r="F2" s="1" t="s">
        <v>196</v>
      </c>
      <c r="G2" s="1" t="s">
        <v>442</v>
      </c>
      <c r="H2" s="1" t="s">
        <v>581</v>
      </c>
      <c r="I2" s="1" t="s">
        <v>667</v>
      </c>
      <c r="J2" s="1"/>
      <c r="K2" s="1"/>
      <c r="L2" s="1"/>
    </row>
    <row r="3" spans="1:12">
      <c r="A3" s="6" t="s">
        <v>3</v>
      </c>
      <c r="B3" s="7" t="s">
        <v>4</v>
      </c>
      <c r="C3" s="8" t="s">
        <v>352</v>
      </c>
      <c r="D3" s="8" t="s">
        <v>352</v>
      </c>
      <c r="E3" s="8" t="s">
        <v>352</v>
      </c>
      <c r="F3" s="8" t="s">
        <v>352</v>
      </c>
      <c r="G3" s="323">
        <v>45260</v>
      </c>
      <c r="H3" s="8">
        <v>45502</v>
      </c>
      <c r="I3" s="8">
        <v>45588</v>
      </c>
      <c r="J3" s="8"/>
      <c r="K3" s="8"/>
      <c r="L3" s="8"/>
    </row>
    <row r="4" spans="1:12">
      <c r="A4" s="6" t="s">
        <v>5</v>
      </c>
      <c r="B4" s="7" t="s">
        <v>6</v>
      </c>
      <c r="C4" s="29">
        <v>25.6</v>
      </c>
      <c r="D4" s="29">
        <v>25.5</v>
      </c>
      <c r="E4" s="30">
        <v>25.4</v>
      </c>
      <c r="F4" s="21">
        <v>25.25</v>
      </c>
      <c r="G4" s="66">
        <v>12.9</v>
      </c>
      <c r="H4" s="6">
        <v>-0.5</v>
      </c>
      <c r="I4" s="6">
        <v>13.8</v>
      </c>
      <c r="J4" s="6"/>
      <c r="K4" s="6"/>
      <c r="L4" s="6"/>
    </row>
    <row r="5" spans="1:12" ht="17.25" thickBot="1">
      <c r="A5" s="72" t="s">
        <v>7</v>
      </c>
      <c r="B5" s="73" t="s">
        <v>8</v>
      </c>
      <c r="C5" s="74">
        <v>20</v>
      </c>
      <c r="D5" s="74">
        <v>50</v>
      </c>
      <c r="E5" s="90">
        <v>30</v>
      </c>
      <c r="F5" s="91">
        <v>50</v>
      </c>
      <c r="G5" s="72">
        <v>15</v>
      </c>
      <c r="H5" s="72">
        <v>165</v>
      </c>
      <c r="I5" s="109">
        <v>32.694000000000003</v>
      </c>
      <c r="J5" s="72"/>
      <c r="K5" s="72"/>
      <c r="L5" s="72"/>
    </row>
    <row r="6" spans="1:12">
      <c r="A6" s="78" t="s">
        <v>9</v>
      </c>
      <c r="B6" s="79" t="s">
        <v>10</v>
      </c>
      <c r="C6" s="317">
        <f>+C4*C5*1000</f>
        <v>512000</v>
      </c>
      <c r="D6" s="317">
        <f t="shared" ref="D6:I6" si="0">+D4*D5*1000</f>
        <v>1275000</v>
      </c>
      <c r="E6" s="317">
        <f t="shared" si="0"/>
        <v>762000</v>
      </c>
      <c r="F6" s="317">
        <f t="shared" si="0"/>
        <v>1262500</v>
      </c>
      <c r="G6" s="162">
        <f t="shared" si="0"/>
        <v>193500</v>
      </c>
      <c r="H6" s="317">
        <f t="shared" si="0"/>
        <v>-82500</v>
      </c>
      <c r="I6" s="317">
        <f t="shared" si="0"/>
        <v>451177.20000000007</v>
      </c>
      <c r="J6" s="317"/>
      <c r="K6" s="317"/>
      <c r="L6" s="317"/>
    </row>
    <row r="7" spans="1:12">
      <c r="A7" s="32" t="s">
        <v>11</v>
      </c>
      <c r="B7" s="61" t="s">
        <v>12</v>
      </c>
      <c r="C7" s="318">
        <f>ROUNDDOWN(+C6*0.001425*0.45,0)</f>
        <v>328</v>
      </c>
      <c r="D7" s="318">
        <f t="shared" ref="D7:F7" si="1">ROUNDDOWN(+D6*0.001425*0.45,0)</f>
        <v>817</v>
      </c>
      <c r="E7" s="318">
        <f t="shared" si="1"/>
        <v>488</v>
      </c>
      <c r="F7" s="318">
        <f t="shared" si="1"/>
        <v>809</v>
      </c>
      <c r="G7" s="41"/>
      <c r="H7" s="318">
        <v>10</v>
      </c>
      <c r="I7" s="318"/>
      <c r="J7" s="318"/>
      <c r="K7" s="318"/>
      <c r="L7" s="318"/>
    </row>
    <row r="8" spans="1:12">
      <c r="A8" s="32" t="s">
        <v>13</v>
      </c>
      <c r="B8" s="61" t="s">
        <v>14</v>
      </c>
      <c r="C8" s="318"/>
      <c r="D8" s="318"/>
      <c r="E8" s="318"/>
      <c r="F8" s="318"/>
      <c r="G8" s="41"/>
      <c r="H8" s="318"/>
      <c r="I8" s="318"/>
      <c r="J8" s="14"/>
      <c r="K8" s="14"/>
      <c r="L8" s="14"/>
    </row>
    <row r="9" spans="1:12">
      <c r="A9" s="32" t="s">
        <v>15</v>
      </c>
      <c r="B9" s="62" t="s">
        <v>16</v>
      </c>
      <c r="C9" s="318"/>
      <c r="D9" s="318"/>
      <c r="E9" s="318"/>
      <c r="F9" s="318"/>
      <c r="G9" s="41"/>
      <c r="H9" s="318"/>
      <c r="I9" s="318"/>
      <c r="J9" s="14"/>
      <c r="K9" s="14"/>
      <c r="L9" s="14"/>
    </row>
    <row r="10" spans="1:12" ht="17.25" thickBot="1">
      <c r="A10" s="81" t="s">
        <v>17</v>
      </c>
      <c r="B10" s="82" t="s">
        <v>18</v>
      </c>
      <c r="C10" s="319">
        <f>+C6+C7</f>
        <v>512328</v>
      </c>
      <c r="D10" s="319">
        <f t="shared" ref="D10:H10" si="2">+D6+D7</f>
        <v>1275817</v>
      </c>
      <c r="E10" s="319">
        <f t="shared" si="2"/>
        <v>762488</v>
      </c>
      <c r="F10" s="319">
        <f t="shared" si="2"/>
        <v>1263309</v>
      </c>
      <c r="G10" s="163">
        <f t="shared" si="2"/>
        <v>193500</v>
      </c>
      <c r="H10" s="319">
        <f t="shared" si="2"/>
        <v>-82490</v>
      </c>
      <c r="I10" s="319">
        <f t="shared" ref="I10" si="3">+I6+I7</f>
        <v>451177.20000000007</v>
      </c>
      <c r="J10" s="319"/>
      <c r="K10" s="319"/>
      <c r="L10" s="319"/>
    </row>
    <row r="11" spans="1:12">
      <c r="A11" s="98" t="s">
        <v>19</v>
      </c>
      <c r="B11" s="99" t="s">
        <v>20</v>
      </c>
      <c r="C11" s="86">
        <f>+C10</f>
        <v>512328</v>
      </c>
      <c r="D11" s="86">
        <f>+C11+D10</f>
        <v>1788145</v>
      </c>
      <c r="E11" s="86">
        <f t="shared" ref="E11:I11" si="4">+D11+E10</f>
        <v>2550633</v>
      </c>
      <c r="F11" s="86">
        <f t="shared" si="4"/>
        <v>3813942</v>
      </c>
      <c r="G11" s="86">
        <f t="shared" si="4"/>
        <v>4007442</v>
      </c>
      <c r="H11" s="86">
        <f t="shared" si="4"/>
        <v>3924952</v>
      </c>
      <c r="I11" s="86">
        <f t="shared" si="4"/>
        <v>4376129.2</v>
      </c>
      <c r="J11" s="86"/>
      <c r="K11" s="86"/>
      <c r="L11" s="86"/>
    </row>
    <row r="12" spans="1:12">
      <c r="A12" s="6" t="s">
        <v>21</v>
      </c>
      <c r="B12" s="18" t="s">
        <v>22</v>
      </c>
      <c r="C12" s="19">
        <f>+C5</f>
        <v>20</v>
      </c>
      <c r="D12" s="19">
        <f>+C12+D5</f>
        <v>70</v>
      </c>
      <c r="E12" s="19">
        <f t="shared" ref="E12:G12" si="5">+D12+E5</f>
        <v>100</v>
      </c>
      <c r="F12" s="19">
        <f t="shared" si="5"/>
        <v>150</v>
      </c>
      <c r="G12" s="19">
        <f t="shared" si="5"/>
        <v>165</v>
      </c>
      <c r="H12" s="306">
        <f>+H5+H5*H16/10</f>
        <v>181.5</v>
      </c>
      <c r="I12" s="36">
        <f>+H12+I5</f>
        <v>214.19400000000002</v>
      </c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>
        <f>+C11/C12/1000</f>
        <v>25.616400000000002</v>
      </c>
      <c r="D13" s="20">
        <f t="shared" ref="D13:H13" si="6">+D11/D12/1000</f>
        <v>25.544928571428571</v>
      </c>
      <c r="E13" s="20">
        <f t="shared" si="6"/>
        <v>25.506330000000002</v>
      </c>
      <c r="F13" s="20">
        <f t="shared" si="6"/>
        <v>25.426279999999998</v>
      </c>
      <c r="G13" s="20">
        <f t="shared" si="6"/>
        <v>24.287527272727271</v>
      </c>
      <c r="H13" s="20">
        <f t="shared" si="6"/>
        <v>21.625079889807161</v>
      </c>
      <c r="I13" s="20">
        <f t="shared" ref="I13" si="7">+I11/I12/1000</f>
        <v>20.430680597962592</v>
      </c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>
        <v>0.5</v>
      </c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>
        <v>1</v>
      </c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350</v>
      </c>
      <c r="B18" s="441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5"/>
      <c r="G21" s="6"/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/>
      <c r="D22" s="85"/>
      <c r="E22" s="72"/>
      <c r="F22" s="106"/>
      <c r="G22" s="72"/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>
        <f>+C21*C22*1000</f>
        <v>0</v>
      </c>
      <c r="D23" s="80">
        <f t="shared" ref="D23:F23" si="8">+D21*D22*1000</f>
        <v>0</v>
      </c>
      <c r="E23" s="80">
        <f t="shared" si="8"/>
        <v>0</v>
      </c>
      <c r="F23" s="80">
        <f t="shared" si="8"/>
        <v>0</v>
      </c>
      <c r="G23" s="80"/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>
        <f>+C23*0.001425*0.45</f>
        <v>0</v>
      </c>
      <c r="D24" s="33">
        <f t="shared" ref="D24:E24" si="9">+D23*0.001425*0.45</f>
        <v>0</v>
      </c>
      <c r="E24" s="33">
        <f t="shared" si="9"/>
        <v>0</v>
      </c>
      <c r="F24" s="33">
        <v>0</v>
      </c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+C23+C24</f>
        <v>0</v>
      </c>
      <c r="D27" s="83">
        <f t="shared" ref="D27:F27" si="10">+D23+D24</f>
        <v>0</v>
      </c>
      <c r="E27" s="83">
        <f t="shared" si="10"/>
        <v>0</v>
      </c>
      <c r="F27" s="83">
        <f t="shared" si="10"/>
        <v>0</v>
      </c>
      <c r="G27" s="83"/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>
        <f>+C27+L11</f>
        <v>0</v>
      </c>
      <c r="D28" s="86">
        <f>D27+C28</f>
        <v>0</v>
      </c>
      <c r="E28" s="86">
        <f t="shared" ref="E28:F28" si="11">E27+D28</f>
        <v>0</v>
      </c>
      <c r="F28" s="86">
        <f t="shared" si="11"/>
        <v>0</v>
      </c>
      <c r="G28" s="94"/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>
        <f>C22+L12</f>
        <v>0</v>
      </c>
      <c r="D29" s="36">
        <f>D22+C29</f>
        <v>0</v>
      </c>
      <c r="E29" s="36">
        <f>E22+D29</f>
        <v>0</v>
      </c>
      <c r="F29" s="37">
        <f>E29+E29*F33/10</f>
        <v>0</v>
      </c>
      <c r="G29" s="95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67"/>
  <sheetViews>
    <sheetView topLeftCell="A19" zoomScale="85" zoomScaleNormal="85" workbookViewId="0">
      <selection activeCell="G37" sqref="G37"/>
    </sheetView>
  </sheetViews>
  <sheetFormatPr defaultRowHeight="16.5"/>
  <cols>
    <col min="1" max="1" width="4.5" style="28" customWidth="1"/>
    <col min="2" max="2" width="8" customWidth="1"/>
    <col min="3" max="7" width="11.75" customWidth="1"/>
    <col min="8" max="8" width="12.25" customWidth="1"/>
    <col min="9" max="12" width="11.75" customWidth="1"/>
  </cols>
  <sheetData>
    <row r="1" spans="1:12">
      <c r="A1" s="438" t="s">
        <v>161</v>
      </c>
      <c r="B1" s="439"/>
      <c r="C1" s="1" t="s">
        <v>34</v>
      </c>
      <c r="D1" s="1" t="s">
        <v>35</v>
      </c>
      <c r="E1" s="1" t="s">
        <v>45</v>
      </c>
      <c r="F1" s="1" t="s">
        <v>46</v>
      </c>
      <c r="G1" s="1" t="s">
        <v>166</v>
      </c>
      <c r="H1" s="47" t="s">
        <v>190</v>
      </c>
      <c r="I1" s="47" t="s">
        <v>191</v>
      </c>
      <c r="J1" s="47" t="s">
        <v>190</v>
      </c>
      <c r="K1" s="1" t="s">
        <v>195</v>
      </c>
      <c r="L1" s="1" t="s">
        <v>198</v>
      </c>
    </row>
    <row r="2" spans="1:12">
      <c r="A2" s="3" t="s">
        <v>0</v>
      </c>
      <c r="B2" s="4" t="s">
        <v>1</v>
      </c>
      <c r="C2" s="1" t="s">
        <v>160</v>
      </c>
      <c r="D2" s="1" t="s">
        <v>160</v>
      </c>
      <c r="E2" s="1" t="s">
        <v>160</v>
      </c>
      <c r="F2" s="1" t="s">
        <v>160</v>
      </c>
      <c r="G2" s="1" t="s">
        <v>167</v>
      </c>
      <c r="H2" s="47" t="s">
        <v>160</v>
      </c>
      <c r="I2" s="47" t="s">
        <v>192</v>
      </c>
      <c r="J2" s="47" t="s">
        <v>193</v>
      </c>
      <c r="K2" s="1" t="s">
        <v>196</v>
      </c>
      <c r="L2" s="1" t="s">
        <v>196</v>
      </c>
    </row>
    <row r="3" spans="1:12">
      <c r="A3" s="6" t="s">
        <v>3</v>
      </c>
      <c r="B3" s="7" t="s">
        <v>4</v>
      </c>
      <c r="C3" s="8">
        <v>43888</v>
      </c>
      <c r="D3" s="8">
        <v>43893</v>
      </c>
      <c r="E3" s="8">
        <v>43894</v>
      </c>
      <c r="F3" s="8">
        <v>43894</v>
      </c>
      <c r="G3" s="8">
        <v>43921</v>
      </c>
      <c r="H3" s="48">
        <v>45166</v>
      </c>
      <c r="I3" s="48">
        <v>45164</v>
      </c>
      <c r="J3" s="48">
        <v>45174</v>
      </c>
      <c r="K3" s="8" t="s">
        <v>197</v>
      </c>
      <c r="L3" s="8" t="s">
        <v>197</v>
      </c>
    </row>
    <row r="4" spans="1:12">
      <c r="A4" s="6" t="s">
        <v>5</v>
      </c>
      <c r="B4" s="7" t="s">
        <v>6</v>
      </c>
      <c r="C4" s="29">
        <v>35</v>
      </c>
      <c r="D4" s="29">
        <v>34.5</v>
      </c>
      <c r="E4" s="30">
        <v>34.1</v>
      </c>
      <c r="F4" s="21">
        <v>34</v>
      </c>
      <c r="G4" s="30">
        <v>28</v>
      </c>
      <c r="H4" s="49">
        <v>-0.30309999999999998</v>
      </c>
      <c r="I4" s="49">
        <v>-0.3</v>
      </c>
      <c r="J4" s="50">
        <v>-1</v>
      </c>
      <c r="K4" s="6">
        <v>90.5</v>
      </c>
      <c r="L4" s="6">
        <v>95.3</v>
      </c>
    </row>
    <row r="5" spans="1:12">
      <c r="A5" s="6" t="s">
        <v>7</v>
      </c>
      <c r="B5" s="7" t="s">
        <v>8</v>
      </c>
      <c r="C5" s="29">
        <v>40</v>
      </c>
      <c r="D5" s="29">
        <v>6</v>
      </c>
      <c r="E5" s="30">
        <v>4</v>
      </c>
      <c r="F5" s="21">
        <v>5</v>
      </c>
      <c r="G5" s="21">
        <v>10</v>
      </c>
      <c r="H5" s="49">
        <v>65</v>
      </c>
      <c r="I5" s="51">
        <f>H12</f>
        <v>71.238050000000001</v>
      </c>
      <c r="J5" s="51">
        <f>I12</f>
        <v>71.238050000000001</v>
      </c>
      <c r="K5" s="6">
        <v>-5</v>
      </c>
      <c r="L5" s="6">
        <v>-3</v>
      </c>
    </row>
    <row r="6" spans="1:12">
      <c r="A6" s="6" t="s">
        <v>9</v>
      </c>
      <c r="B6" s="7" t="s">
        <v>10</v>
      </c>
      <c r="C6" s="12">
        <f>ROUNDDOWN(+C4*C5*1000,0)</f>
        <v>1400000</v>
      </c>
      <c r="D6" s="12">
        <f t="shared" ref="D6:G6" si="0">ROUNDDOWN(+D4*D5*1000,0)</f>
        <v>207000</v>
      </c>
      <c r="E6" s="12">
        <f t="shared" si="0"/>
        <v>136400</v>
      </c>
      <c r="F6" s="12">
        <f t="shared" si="0"/>
        <v>170000</v>
      </c>
      <c r="G6" s="12">
        <f t="shared" si="0"/>
        <v>280000</v>
      </c>
      <c r="H6" s="52">
        <f>H5*H4*1000</f>
        <v>-19701.5</v>
      </c>
      <c r="I6" s="52">
        <f>I5*I4*1000</f>
        <v>-21371.414999999997</v>
      </c>
      <c r="J6" s="52">
        <f>J5*J4*1000</f>
        <v>-71238.05</v>
      </c>
      <c r="K6" s="12">
        <f>ROUNDDOWN(+K4*K5*1000,0)</f>
        <v>-452500</v>
      </c>
      <c r="L6" s="12">
        <f>ROUNDDOWN(+L4*L5*1000,0)</f>
        <v>-285900</v>
      </c>
    </row>
    <row r="7" spans="1:12">
      <c r="A7" s="6" t="s">
        <v>11</v>
      </c>
      <c r="B7" s="7" t="s">
        <v>12</v>
      </c>
      <c r="C7" s="15">
        <f>ROUNDDOWN(+C6*0.001425*0.45,0)</f>
        <v>897</v>
      </c>
      <c r="D7" s="15">
        <f t="shared" ref="D7:G7" si="1">ROUNDDOWN(+D6*0.001425*0.45,0)</f>
        <v>132</v>
      </c>
      <c r="E7" s="15">
        <f t="shared" si="1"/>
        <v>87</v>
      </c>
      <c r="F7" s="15">
        <f t="shared" si="1"/>
        <v>109</v>
      </c>
      <c r="G7" s="15">
        <f t="shared" si="1"/>
        <v>179</v>
      </c>
      <c r="H7" s="53"/>
      <c r="I7" s="53"/>
      <c r="J7" s="52"/>
      <c r="K7" s="15">
        <f>ROUNDDOWN(-(+K6*0.001425*0.45),0)</f>
        <v>290</v>
      </c>
      <c r="L7" s="15">
        <f>ROUNDDOWN(-(+L6*0.001425*0.45),0)</f>
        <v>183</v>
      </c>
    </row>
    <row r="8" spans="1:12">
      <c r="A8" s="6" t="s">
        <v>13</v>
      </c>
      <c r="B8" s="7" t="s">
        <v>14</v>
      </c>
      <c r="C8" s="15"/>
      <c r="D8" s="15"/>
      <c r="E8" s="15"/>
      <c r="F8" s="15"/>
      <c r="G8" s="15"/>
      <c r="H8" s="53"/>
      <c r="I8" s="53"/>
      <c r="J8" s="52"/>
      <c r="K8" s="12">
        <f>-ROUNDDOWN(K6*3/1000,0)</f>
        <v>1357</v>
      </c>
      <c r="L8" s="12">
        <f>-ROUNDDOWN(L6*3/1000,0)</f>
        <v>857</v>
      </c>
    </row>
    <row r="9" spans="1:12">
      <c r="A9" s="6" t="s">
        <v>15</v>
      </c>
      <c r="B9" s="16" t="s">
        <v>16</v>
      </c>
      <c r="C9" s="15"/>
      <c r="D9" s="15"/>
      <c r="E9" s="15"/>
      <c r="F9" s="15"/>
      <c r="G9" s="15"/>
      <c r="H9" s="53"/>
      <c r="I9" s="53"/>
      <c r="J9" s="52"/>
      <c r="K9" s="12"/>
      <c r="L9" s="12"/>
    </row>
    <row r="10" spans="1:12">
      <c r="A10" s="6" t="s">
        <v>17</v>
      </c>
      <c r="B10" s="7" t="s">
        <v>18</v>
      </c>
      <c r="C10" s="17">
        <f>SUM(C6:C9)</f>
        <v>1400897</v>
      </c>
      <c r="D10" s="17">
        <f>SUM(D6:D9)</f>
        <v>207132</v>
      </c>
      <c r="E10" s="17">
        <f t="shared" ref="E10:F10" si="2">SUM(E6:E9)</f>
        <v>136487</v>
      </c>
      <c r="F10" s="17">
        <f t="shared" si="2"/>
        <v>170109</v>
      </c>
      <c r="G10" s="17">
        <f t="shared" ref="G10" si="3">SUM(G6:G9)</f>
        <v>280179</v>
      </c>
      <c r="H10" s="54">
        <f>SUM(H6:H9)</f>
        <v>-19701.5</v>
      </c>
      <c r="I10" s="54">
        <f>SUM(I6:I9)</f>
        <v>-21371.414999999997</v>
      </c>
      <c r="J10" s="54">
        <f>SUM(J6:J9)</f>
        <v>-71238.05</v>
      </c>
      <c r="K10" s="17">
        <f t="shared" ref="K10:L10" si="4">SUM(K6:K9)</f>
        <v>-450853</v>
      </c>
      <c r="L10" s="17">
        <f t="shared" si="4"/>
        <v>-284860</v>
      </c>
    </row>
    <row r="11" spans="1:12">
      <c r="A11" s="6" t="s">
        <v>19</v>
      </c>
      <c r="B11" s="7" t="s">
        <v>20</v>
      </c>
      <c r="C11" s="17">
        <f>+C10</f>
        <v>1400897</v>
      </c>
      <c r="D11" s="17">
        <f>+C11+D10</f>
        <v>1608029</v>
      </c>
      <c r="E11" s="17">
        <f t="shared" ref="E11:G11" si="5">+D11+E10</f>
        <v>1744516</v>
      </c>
      <c r="F11" s="17">
        <f t="shared" si="5"/>
        <v>1914625</v>
      </c>
      <c r="G11" s="17">
        <f t="shared" si="5"/>
        <v>2194804</v>
      </c>
      <c r="H11" s="54">
        <f>G11+H10</f>
        <v>2175102.5</v>
      </c>
      <c r="I11" s="54">
        <f>H11+I10</f>
        <v>2153731.085</v>
      </c>
      <c r="J11" s="54">
        <f>I11+J10</f>
        <v>2082493.0349999999</v>
      </c>
      <c r="K11" s="17">
        <f t="shared" ref="K11:L11" si="6">+J11+K10</f>
        <v>1631640.0349999999</v>
      </c>
      <c r="L11" s="17">
        <f t="shared" si="6"/>
        <v>1346780.0349999999</v>
      </c>
    </row>
    <row r="12" spans="1:12">
      <c r="A12" s="6" t="s">
        <v>21</v>
      </c>
      <c r="B12" s="18" t="s">
        <v>22</v>
      </c>
      <c r="C12" s="19">
        <f>+C5</f>
        <v>40</v>
      </c>
      <c r="D12" s="19">
        <f>+C12+D5</f>
        <v>46</v>
      </c>
      <c r="E12" s="19">
        <f t="shared" ref="E12:G12" si="7">+D12+E5</f>
        <v>50</v>
      </c>
      <c r="F12" s="19">
        <f t="shared" si="7"/>
        <v>55</v>
      </c>
      <c r="G12" s="19">
        <f t="shared" si="7"/>
        <v>65</v>
      </c>
      <c r="H12" s="55">
        <f>G12+G12*H16/10</f>
        <v>71.238050000000001</v>
      </c>
      <c r="I12" s="55">
        <f>H12+H12*I16/10</f>
        <v>71.238050000000001</v>
      </c>
      <c r="J12" s="56">
        <f>I12+I12*J16/10</f>
        <v>78.361855000000006</v>
      </c>
      <c r="K12" s="37">
        <f t="shared" ref="K12:L12" si="8">+J12+K5</f>
        <v>73.361855000000006</v>
      </c>
      <c r="L12" s="37">
        <f t="shared" si="8"/>
        <v>70.361855000000006</v>
      </c>
    </row>
    <row r="13" spans="1:12" ht="15.6" customHeight="1">
      <c r="A13" s="6" t="s">
        <v>23</v>
      </c>
      <c r="B13" s="7" t="s">
        <v>24</v>
      </c>
      <c r="C13" s="20">
        <f>+C11/C12/1000</f>
        <v>35.022425000000005</v>
      </c>
      <c r="D13" s="20">
        <f>+D11/D12/1000</f>
        <v>34.957152173913038</v>
      </c>
      <c r="E13" s="20">
        <f t="shared" ref="E13:F13" si="9">+E11/E12/1000</f>
        <v>34.890320000000003</v>
      </c>
      <c r="F13" s="20">
        <f t="shared" si="9"/>
        <v>34.811363636363637</v>
      </c>
      <c r="G13" s="20">
        <f t="shared" ref="G13" si="10">+G11/G12/1000</f>
        <v>33.766215384615379</v>
      </c>
      <c r="H13" s="57">
        <f>H11/H12/1000</f>
        <v>30.532875338390088</v>
      </c>
      <c r="I13" s="57">
        <f>I11/I12/1000</f>
        <v>30.232875338390087</v>
      </c>
      <c r="J13" s="58">
        <f>J11/J12/1000</f>
        <v>26.575341216718257</v>
      </c>
      <c r="K13" s="20">
        <f t="shared" ref="K13:L13" si="11">+K11/K12/1000</f>
        <v>22.240986613547324</v>
      </c>
      <c r="L13" s="20">
        <f t="shared" si="11"/>
        <v>19.140769313145594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49"/>
      <c r="I14" s="49"/>
      <c r="J14" s="49" t="s">
        <v>194</v>
      </c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49">
        <v>0.30309999999999998</v>
      </c>
      <c r="I15" s="49">
        <v>0.3</v>
      </c>
      <c r="J15" s="50">
        <v>1</v>
      </c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49">
        <v>0.9597</v>
      </c>
      <c r="I16" s="49">
        <v>0</v>
      </c>
      <c r="J16" s="50">
        <v>1</v>
      </c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161</v>
      </c>
      <c r="B18" s="439"/>
      <c r="C18" s="1" t="s">
        <v>199</v>
      </c>
      <c r="D18" s="2" t="s">
        <v>201</v>
      </c>
      <c r="E18" s="2" t="s">
        <v>203</v>
      </c>
      <c r="F18" s="1" t="s">
        <v>204</v>
      </c>
      <c r="G18" s="1" t="s">
        <v>206</v>
      </c>
      <c r="H18" s="1" t="s">
        <v>207</v>
      </c>
      <c r="I18" s="1" t="s">
        <v>209</v>
      </c>
      <c r="J18" s="1" t="s">
        <v>210</v>
      </c>
      <c r="K18" s="1" t="s">
        <v>211</v>
      </c>
      <c r="L18" s="1"/>
    </row>
    <row r="19" spans="1:12">
      <c r="A19" s="3" t="s">
        <v>0</v>
      </c>
      <c r="B19" s="4" t="s">
        <v>1</v>
      </c>
      <c r="C19" s="5" t="s">
        <v>196</v>
      </c>
      <c r="D19" s="2" t="s">
        <v>196</v>
      </c>
      <c r="E19" s="1" t="s">
        <v>196</v>
      </c>
      <c r="F19" s="1" t="s">
        <v>196</v>
      </c>
      <c r="G19" s="1" t="s">
        <v>196</v>
      </c>
      <c r="H19" s="1" t="s">
        <v>196</v>
      </c>
      <c r="I19" s="1" t="s">
        <v>196</v>
      </c>
      <c r="J19" s="1" t="s">
        <v>196</v>
      </c>
      <c r="K19" s="1" t="s">
        <v>196</v>
      </c>
      <c r="L19" s="1"/>
    </row>
    <row r="20" spans="1:12">
      <c r="A20" s="6" t="s">
        <v>3</v>
      </c>
      <c r="B20" s="7" t="s">
        <v>4</v>
      </c>
      <c r="C20" s="8" t="s">
        <v>200</v>
      </c>
      <c r="D20" s="9" t="s">
        <v>202</v>
      </c>
      <c r="E20" s="9" t="s">
        <v>202</v>
      </c>
      <c r="F20" s="8" t="s">
        <v>205</v>
      </c>
      <c r="G20" s="8" t="s">
        <v>205</v>
      </c>
      <c r="H20" s="8" t="s">
        <v>208</v>
      </c>
      <c r="I20" s="8" t="s">
        <v>208</v>
      </c>
      <c r="J20" s="8" t="s">
        <v>212</v>
      </c>
      <c r="K20" s="8" t="s">
        <v>212</v>
      </c>
      <c r="L20" s="8"/>
    </row>
    <row r="21" spans="1:12">
      <c r="A21" s="6" t="s">
        <v>5</v>
      </c>
      <c r="B21" s="7" t="s">
        <v>6</v>
      </c>
      <c r="C21" s="29">
        <v>107.5</v>
      </c>
      <c r="D21" s="30">
        <v>115</v>
      </c>
      <c r="E21" s="6">
        <v>118</v>
      </c>
      <c r="F21" s="29">
        <v>112</v>
      </c>
      <c r="G21" s="6">
        <v>113.5</v>
      </c>
      <c r="H21" s="6">
        <v>115</v>
      </c>
      <c r="I21" s="6">
        <v>117</v>
      </c>
      <c r="J21" s="6">
        <v>117</v>
      </c>
      <c r="K21" s="6">
        <v>118</v>
      </c>
      <c r="L21" s="6"/>
    </row>
    <row r="22" spans="1:12">
      <c r="A22" s="6" t="s">
        <v>7</v>
      </c>
      <c r="B22" s="7" t="s">
        <v>8</v>
      </c>
      <c r="C22" s="30">
        <v>-5</v>
      </c>
      <c r="D22" s="30">
        <v>-5</v>
      </c>
      <c r="E22" s="30">
        <v>-5</v>
      </c>
      <c r="F22" s="30">
        <v>-5</v>
      </c>
      <c r="G22" s="30">
        <v>-5</v>
      </c>
      <c r="H22" s="30">
        <v>-5</v>
      </c>
      <c r="I22" s="6">
        <v>-3</v>
      </c>
      <c r="J22" s="6">
        <v>-1</v>
      </c>
      <c r="K22" s="6">
        <v>-2</v>
      </c>
      <c r="L22" s="6"/>
    </row>
    <row r="23" spans="1:12">
      <c r="A23" s="6" t="s">
        <v>9</v>
      </c>
      <c r="B23" s="7" t="s">
        <v>10</v>
      </c>
      <c r="C23" s="12">
        <f>ROUNDDOWN(+C21*C22*1000,0)</f>
        <v>-537500</v>
      </c>
      <c r="D23" s="12">
        <f t="shared" ref="D23:K23" si="12">ROUNDDOWN(+D21*D22*1000,0)</f>
        <v>-575000</v>
      </c>
      <c r="E23" s="12">
        <f t="shared" si="12"/>
        <v>-590000</v>
      </c>
      <c r="F23" s="12">
        <f t="shared" si="12"/>
        <v>-560000</v>
      </c>
      <c r="G23" s="12">
        <f t="shared" si="12"/>
        <v>-567500</v>
      </c>
      <c r="H23" s="12">
        <f t="shared" si="12"/>
        <v>-575000</v>
      </c>
      <c r="I23" s="12">
        <f t="shared" si="12"/>
        <v>-351000</v>
      </c>
      <c r="J23" s="12">
        <f t="shared" si="12"/>
        <v>-117000</v>
      </c>
      <c r="K23" s="12">
        <f t="shared" si="12"/>
        <v>-236000</v>
      </c>
      <c r="L23" s="12"/>
    </row>
    <row r="24" spans="1:12">
      <c r="A24" s="6" t="s">
        <v>11</v>
      </c>
      <c r="B24" s="7" t="s">
        <v>12</v>
      </c>
      <c r="C24" s="15">
        <f>ROUNDDOWN(-(+C23*0.001425*0.45),0)</f>
        <v>344</v>
      </c>
      <c r="D24" s="15">
        <f t="shared" ref="D24:K24" si="13">ROUNDDOWN(-(+D23*0.001425*0.45),0)</f>
        <v>368</v>
      </c>
      <c r="E24" s="15">
        <f t="shared" si="13"/>
        <v>378</v>
      </c>
      <c r="F24" s="15">
        <f t="shared" si="13"/>
        <v>359</v>
      </c>
      <c r="G24" s="15">
        <f t="shared" si="13"/>
        <v>363</v>
      </c>
      <c r="H24" s="15">
        <f t="shared" si="13"/>
        <v>368</v>
      </c>
      <c r="I24" s="15">
        <f t="shared" si="13"/>
        <v>225</v>
      </c>
      <c r="J24" s="15">
        <f t="shared" si="13"/>
        <v>75</v>
      </c>
      <c r="K24" s="15">
        <f t="shared" si="13"/>
        <v>151</v>
      </c>
      <c r="L24" s="12"/>
    </row>
    <row r="25" spans="1:12">
      <c r="A25" s="6" t="s">
        <v>13</v>
      </c>
      <c r="B25" s="7" t="s">
        <v>14</v>
      </c>
      <c r="C25" s="12">
        <f>-ROUNDDOWN(C23*3/1000,0)</f>
        <v>1612</v>
      </c>
      <c r="D25" s="12">
        <f>-ROUNDDOWN(D23*3/1000,0)</f>
        <v>1725</v>
      </c>
      <c r="E25" s="12">
        <f>-ROUNDDOWN(E23*3/1000,0)</f>
        <v>1770</v>
      </c>
      <c r="F25" s="12">
        <f t="shared" ref="F25:G25" si="14">-ROUNDDOWN(F23*3/1000,0)</f>
        <v>1680</v>
      </c>
      <c r="G25" s="12">
        <f t="shared" si="14"/>
        <v>1702</v>
      </c>
      <c r="H25" s="12">
        <f t="shared" ref="H25:K25" si="15">-ROUNDDOWN(H23*3/1000,0)</f>
        <v>1725</v>
      </c>
      <c r="I25" s="12">
        <f t="shared" si="15"/>
        <v>1053</v>
      </c>
      <c r="J25" s="12">
        <f t="shared" si="15"/>
        <v>351</v>
      </c>
      <c r="K25" s="12">
        <f t="shared" si="15"/>
        <v>708</v>
      </c>
      <c r="L25" s="12"/>
    </row>
    <row r="26" spans="1:12">
      <c r="A26" s="6" t="s">
        <v>15</v>
      </c>
      <c r="B26" s="16" t="s">
        <v>16</v>
      </c>
      <c r="C26" s="15"/>
      <c r="D26" s="14"/>
      <c r="E26" s="12"/>
      <c r="F26" s="12"/>
      <c r="G26" s="12"/>
      <c r="H26" s="12"/>
      <c r="I26" s="12"/>
      <c r="J26" s="12"/>
      <c r="K26" s="12"/>
      <c r="L26" s="12"/>
    </row>
    <row r="27" spans="1:12">
      <c r="A27" s="6" t="s">
        <v>17</v>
      </c>
      <c r="B27" s="7" t="s">
        <v>18</v>
      </c>
      <c r="C27" s="17">
        <f t="shared" ref="C27:D27" si="16">SUM(C23:C26)</f>
        <v>-535544</v>
      </c>
      <c r="D27" s="17">
        <f t="shared" si="16"/>
        <v>-572907</v>
      </c>
      <c r="E27" s="17">
        <f t="shared" ref="E27:G27" si="17">SUM(E23:E26)</f>
        <v>-587852</v>
      </c>
      <c r="F27" s="17">
        <f t="shared" si="17"/>
        <v>-557961</v>
      </c>
      <c r="G27" s="17">
        <f t="shared" si="17"/>
        <v>-565435</v>
      </c>
      <c r="H27" s="17">
        <f t="shared" ref="H27:K27" si="18">SUM(H23:H26)</f>
        <v>-572907</v>
      </c>
      <c r="I27" s="17">
        <f t="shared" si="18"/>
        <v>-349722</v>
      </c>
      <c r="J27" s="17">
        <f t="shared" si="18"/>
        <v>-116574</v>
      </c>
      <c r="K27" s="17">
        <f t="shared" si="18"/>
        <v>-235141</v>
      </c>
      <c r="L27" s="17"/>
    </row>
    <row r="28" spans="1:12">
      <c r="A28" s="6" t="s">
        <v>19</v>
      </c>
      <c r="B28" s="7" t="s">
        <v>20</v>
      </c>
      <c r="C28" s="17">
        <f>C27+L11</f>
        <v>811236.03499999992</v>
      </c>
      <c r="D28" s="17">
        <f t="shared" ref="D28" si="19">+C28+D27</f>
        <v>238329.03499999992</v>
      </c>
      <c r="E28" s="17">
        <f t="shared" ref="E28" si="20">+D28+E27</f>
        <v>-349522.96500000008</v>
      </c>
      <c r="F28" s="17">
        <f t="shared" ref="F28" si="21">+E28+F27</f>
        <v>-907483.96500000008</v>
      </c>
      <c r="G28" s="17">
        <f t="shared" ref="G28" si="22">+F28+G27</f>
        <v>-1472918.9650000001</v>
      </c>
      <c r="H28" s="17">
        <f t="shared" ref="H28" si="23">+G28+H27</f>
        <v>-2045825.9650000001</v>
      </c>
      <c r="I28" s="17">
        <f t="shared" ref="I28" si="24">+H28+I27</f>
        <v>-2395547.9649999999</v>
      </c>
      <c r="J28" s="17">
        <f t="shared" ref="J28" si="25">+I28+J27</f>
        <v>-2512121.9649999999</v>
      </c>
      <c r="K28" s="17">
        <f t="shared" ref="K28" si="26">+J28+K27</f>
        <v>-2747262.9649999999</v>
      </c>
      <c r="L28" s="17"/>
    </row>
    <row r="29" spans="1:12">
      <c r="A29" s="6" t="s">
        <v>21</v>
      </c>
      <c r="B29" s="18" t="s">
        <v>22</v>
      </c>
      <c r="C29" s="36">
        <f>ROUNDDOWN(L12+C22,3)</f>
        <v>65.361000000000004</v>
      </c>
      <c r="D29" s="36">
        <f t="shared" ref="D29" si="27">+C29+D22</f>
        <v>60.361000000000004</v>
      </c>
      <c r="E29" s="36">
        <f t="shared" ref="E29" si="28">+D29+E22</f>
        <v>55.361000000000004</v>
      </c>
      <c r="F29" s="36">
        <f t="shared" ref="F29" si="29">+E29+F22</f>
        <v>50.361000000000004</v>
      </c>
      <c r="G29" s="36">
        <f t="shared" ref="G29" si="30">+F29+G22</f>
        <v>45.361000000000004</v>
      </c>
      <c r="H29" s="36">
        <f t="shared" ref="H29" si="31">+G29+H22</f>
        <v>40.361000000000004</v>
      </c>
      <c r="I29" s="36">
        <f t="shared" ref="I29" si="32">+H29+I22</f>
        <v>37.361000000000004</v>
      </c>
      <c r="J29" s="36">
        <f t="shared" ref="J29" si="33">+I29+J22</f>
        <v>36.361000000000004</v>
      </c>
      <c r="K29" s="36">
        <f t="shared" ref="K29" si="34">+J29+K22</f>
        <v>34.361000000000004</v>
      </c>
      <c r="L29" s="6"/>
    </row>
    <row r="30" spans="1:12">
      <c r="A30" s="6" t="s">
        <v>23</v>
      </c>
      <c r="B30" s="7" t="s">
        <v>24</v>
      </c>
      <c r="C30" s="20">
        <f t="shared" ref="C30:K30" si="35">+C28/C29/1000</f>
        <v>12.411622144704026</v>
      </c>
      <c r="D30" s="20">
        <f t="shared" si="35"/>
        <v>3.9483944102980386</v>
      </c>
      <c r="E30" s="20">
        <f t="shared" si="35"/>
        <v>-6.313523328697098</v>
      </c>
      <c r="F30" s="20">
        <f t="shared" si="35"/>
        <v>-18.019577947221062</v>
      </c>
      <c r="G30" s="20">
        <f t="shared" si="35"/>
        <v>-32.471042635744361</v>
      </c>
      <c r="H30" s="20">
        <f t="shared" si="35"/>
        <v>-50.688188226258021</v>
      </c>
      <c r="I30" s="20">
        <f t="shared" si="35"/>
        <v>-64.118946628837548</v>
      </c>
      <c r="J30" s="20">
        <f t="shared" si="35"/>
        <v>-69.088362943813408</v>
      </c>
      <c r="K30" s="20">
        <f t="shared" si="35"/>
        <v>-79.952939815488463</v>
      </c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38" t="s">
        <v>161</v>
      </c>
      <c r="B35" s="439"/>
      <c r="C35" s="1" t="s">
        <v>213</v>
      </c>
      <c r="D35" s="1" t="s">
        <v>216</v>
      </c>
      <c r="E35" s="1" t="s">
        <v>217</v>
      </c>
      <c r="F35" s="1" t="s">
        <v>218</v>
      </c>
      <c r="G35" s="1" t="s">
        <v>219</v>
      </c>
      <c r="H35" s="1" t="s">
        <v>220</v>
      </c>
      <c r="I35" s="1"/>
      <c r="J35" s="1"/>
      <c r="K35" s="1"/>
      <c r="L35" s="1"/>
    </row>
    <row r="36" spans="1:12">
      <c r="A36" s="3" t="s">
        <v>0</v>
      </c>
      <c r="B36" s="4" t="s">
        <v>1</v>
      </c>
      <c r="C36" s="1" t="s">
        <v>214</v>
      </c>
      <c r="D36" s="1" t="s">
        <v>214</v>
      </c>
      <c r="E36" s="1" t="s">
        <v>214</v>
      </c>
      <c r="F36" s="1" t="s">
        <v>214</v>
      </c>
      <c r="G36" s="1" t="s">
        <v>214</v>
      </c>
      <c r="H36" s="1" t="s">
        <v>196</v>
      </c>
      <c r="I36" s="1"/>
      <c r="J36" s="1"/>
      <c r="K36" s="1"/>
      <c r="L36" s="1"/>
    </row>
    <row r="37" spans="1:12">
      <c r="A37" s="6" t="s">
        <v>3</v>
      </c>
      <c r="B37" s="7" t="s">
        <v>4</v>
      </c>
      <c r="C37" s="8" t="s">
        <v>215</v>
      </c>
      <c r="D37" s="8" t="s">
        <v>215</v>
      </c>
      <c r="E37" s="8" t="s">
        <v>215</v>
      </c>
      <c r="F37" s="8" t="s">
        <v>215</v>
      </c>
      <c r="G37" s="8" t="s">
        <v>221</v>
      </c>
      <c r="H37" s="8" t="s">
        <v>221</v>
      </c>
      <c r="I37" s="8"/>
      <c r="J37" s="8"/>
      <c r="K37" s="8"/>
      <c r="L37" s="8"/>
    </row>
    <row r="38" spans="1:12">
      <c r="A38" s="6" t="s">
        <v>5</v>
      </c>
      <c r="B38" s="7" t="s">
        <v>6</v>
      </c>
      <c r="C38" s="29">
        <v>110</v>
      </c>
      <c r="D38" s="29">
        <v>110.5</v>
      </c>
      <c r="E38" s="30">
        <v>111</v>
      </c>
      <c r="F38" s="21">
        <v>112.5</v>
      </c>
      <c r="G38" s="30">
        <v>113</v>
      </c>
      <c r="H38" s="6">
        <v>110.5</v>
      </c>
      <c r="I38" s="6"/>
      <c r="J38" s="38"/>
      <c r="K38" s="6"/>
      <c r="L38" s="6"/>
    </row>
    <row r="39" spans="1:12">
      <c r="A39" s="6" t="s">
        <v>7</v>
      </c>
      <c r="B39" s="7" t="s">
        <v>8</v>
      </c>
      <c r="C39" s="29">
        <v>-15</v>
      </c>
      <c r="D39" s="29">
        <v>-3</v>
      </c>
      <c r="E39" s="30">
        <v>-5</v>
      </c>
      <c r="F39" s="21">
        <v>-5</v>
      </c>
      <c r="G39" s="21">
        <v>-6</v>
      </c>
      <c r="H39" s="6">
        <v>-0.36099999999999999</v>
      </c>
      <c r="I39" s="39"/>
      <c r="J39" s="39"/>
      <c r="K39" s="6"/>
      <c r="L39" s="6"/>
    </row>
    <row r="40" spans="1:12">
      <c r="A40" s="6" t="s">
        <v>9</v>
      </c>
      <c r="B40" s="7" t="s">
        <v>10</v>
      </c>
      <c r="C40" s="12">
        <f>+C38*C39*1000</f>
        <v>-1650000</v>
      </c>
      <c r="D40" s="12">
        <f t="shared" ref="D40:F40" si="36">+D38*D39*1000</f>
        <v>-331500</v>
      </c>
      <c r="E40" s="12">
        <f t="shared" si="36"/>
        <v>-555000</v>
      </c>
      <c r="F40" s="12">
        <f t="shared" si="36"/>
        <v>-562500</v>
      </c>
      <c r="G40" s="12">
        <f t="shared" ref="G40" si="37">+G38*G39*1000</f>
        <v>-678000</v>
      </c>
      <c r="H40" s="12">
        <f t="shared" ref="H40" si="38">+H38*H39*1000</f>
        <v>-39890.499999999993</v>
      </c>
      <c r="I40" s="40"/>
      <c r="J40" s="40"/>
      <c r="K40" s="40"/>
      <c r="L40" s="40"/>
    </row>
    <row r="41" spans="1:12">
      <c r="A41" s="6" t="s">
        <v>11</v>
      </c>
      <c r="B41" s="7" t="s">
        <v>12</v>
      </c>
      <c r="C41" s="15">
        <f t="shared" ref="C41" si="39">-(+C40*0.001425*0.45)</f>
        <v>1058.0625</v>
      </c>
      <c r="D41" s="15">
        <f t="shared" ref="D41" si="40">-(+D40*0.001425*0.45)</f>
        <v>212.574375</v>
      </c>
      <c r="E41" s="15">
        <f t="shared" ref="E41" si="41">-(+E40*0.001425*0.45)</f>
        <v>355.89375000000001</v>
      </c>
      <c r="F41" s="15">
        <f t="shared" ref="F41:H41" si="42">-(+F40*0.001425*0.45)</f>
        <v>360.703125</v>
      </c>
      <c r="G41" s="15">
        <f t="shared" si="42"/>
        <v>434.76750000000004</v>
      </c>
      <c r="H41" s="15">
        <f t="shared" si="42"/>
        <v>25.579783124999995</v>
      </c>
      <c r="I41" s="41"/>
      <c r="J41" s="40"/>
      <c r="K41" s="41"/>
      <c r="L41" s="41"/>
    </row>
    <row r="42" spans="1:12">
      <c r="A42" s="6" t="s">
        <v>13</v>
      </c>
      <c r="B42" s="7" t="s">
        <v>14</v>
      </c>
      <c r="C42" s="12">
        <f>-ROUNDDOWN(C40*3/1000,0)</f>
        <v>4950</v>
      </c>
      <c r="D42" s="12">
        <f t="shared" ref="D42:F42" si="43">-ROUNDDOWN(D40*3/1000,0)</f>
        <v>994</v>
      </c>
      <c r="E42" s="12">
        <f t="shared" si="43"/>
        <v>1665</v>
      </c>
      <c r="F42" s="12">
        <f t="shared" si="43"/>
        <v>1687</v>
      </c>
      <c r="G42" s="12">
        <f t="shared" ref="G42:H42" si="44">-ROUNDDOWN(G40*3/1000,0)</f>
        <v>2034</v>
      </c>
      <c r="H42" s="12">
        <f t="shared" si="44"/>
        <v>119</v>
      </c>
      <c r="I42" s="41"/>
      <c r="J42" s="40"/>
      <c r="K42" s="40"/>
      <c r="L42" s="40"/>
    </row>
    <row r="43" spans="1:12">
      <c r="A43" s="6" t="s">
        <v>15</v>
      </c>
      <c r="B43" s="16" t="s">
        <v>16</v>
      </c>
      <c r="C43" s="15"/>
      <c r="D43" s="15"/>
      <c r="E43" s="15"/>
      <c r="F43" s="15"/>
      <c r="G43" s="15"/>
      <c r="H43" s="41"/>
      <c r="I43" s="41"/>
      <c r="J43" s="40"/>
      <c r="K43" s="40"/>
      <c r="L43" s="40"/>
    </row>
    <row r="44" spans="1:12">
      <c r="A44" s="6" t="s">
        <v>17</v>
      </c>
      <c r="B44" s="7" t="s">
        <v>18</v>
      </c>
      <c r="C44" s="17">
        <f>SUM(C40:C43)</f>
        <v>-1643991.9375</v>
      </c>
      <c r="D44" s="17">
        <f t="shared" ref="D44:H44" si="45">SUM(D40:D43)</f>
        <v>-330293.42562499997</v>
      </c>
      <c r="E44" s="17">
        <f t="shared" si="45"/>
        <v>-552979.10624999995</v>
      </c>
      <c r="F44" s="17">
        <f t="shared" si="45"/>
        <v>-560452.296875</v>
      </c>
      <c r="G44" s="17">
        <f t="shared" si="45"/>
        <v>-675531.23250000004</v>
      </c>
      <c r="H44" s="17">
        <f t="shared" si="45"/>
        <v>-39745.920216874991</v>
      </c>
      <c r="I44" s="17"/>
      <c r="J44" s="17"/>
      <c r="K44" s="17"/>
      <c r="L44" s="17"/>
    </row>
    <row r="45" spans="1:12">
      <c r="A45" s="6" t="s">
        <v>19</v>
      </c>
      <c r="B45" s="7" t="s">
        <v>20</v>
      </c>
      <c r="C45" s="17">
        <f>C44+K28</f>
        <v>-4391254.9024999999</v>
      </c>
      <c r="D45" s="17">
        <f>D44+C45</f>
        <v>-4721548.328125</v>
      </c>
      <c r="E45" s="17">
        <f t="shared" ref="E45:H45" si="46">E44+D45</f>
        <v>-5274527.4343750002</v>
      </c>
      <c r="F45" s="17">
        <f t="shared" si="46"/>
        <v>-5834979.7312500002</v>
      </c>
      <c r="G45" s="17">
        <f t="shared" si="46"/>
        <v>-6510510.9637500001</v>
      </c>
      <c r="H45" s="17">
        <f t="shared" si="46"/>
        <v>-6550256.8839668753</v>
      </c>
      <c r="I45" s="17"/>
      <c r="J45" s="17"/>
      <c r="K45" s="17"/>
      <c r="L45" s="17"/>
    </row>
    <row r="46" spans="1:12">
      <c r="A46" s="6" t="s">
        <v>21</v>
      </c>
      <c r="B46" s="18" t="s">
        <v>22</v>
      </c>
      <c r="C46" s="36">
        <f>K29+C39</f>
        <v>19.361000000000004</v>
      </c>
      <c r="D46" s="36">
        <f>+C46+D39</f>
        <v>16.361000000000004</v>
      </c>
      <c r="E46" s="36">
        <f t="shared" ref="E46:F46" si="47">+D46+E39</f>
        <v>11.361000000000004</v>
      </c>
      <c r="F46" s="36">
        <f t="shared" si="47"/>
        <v>6.3610000000000042</v>
      </c>
      <c r="G46" s="36">
        <f t="shared" ref="G46:H46" si="48">+F46+G39</f>
        <v>0.36100000000000421</v>
      </c>
      <c r="H46" s="36">
        <f t="shared" si="48"/>
        <v>4.2188474935755949E-15</v>
      </c>
      <c r="I46" s="42"/>
      <c r="J46" s="43"/>
      <c r="K46" s="43"/>
      <c r="L46" s="43"/>
    </row>
    <row r="47" spans="1:12">
      <c r="A47" s="6" t="s">
        <v>23</v>
      </c>
      <c r="B47" s="7" t="s">
        <v>24</v>
      </c>
      <c r="C47" s="20">
        <f t="shared" ref="C47:G47" si="49">+C45/C46/1000</f>
        <v>-226.80930233459009</v>
      </c>
      <c r="D47" s="20">
        <f t="shared" si="49"/>
        <v>-288.58555883656248</v>
      </c>
      <c r="E47" s="20">
        <f t="shared" si="49"/>
        <v>-464.2661239657599</v>
      </c>
      <c r="F47" s="20">
        <f t="shared" si="49"/>
        <v>-917.30541286747314</v>
      </c>
      <c r="G47" s="20">
        <f t="shared" si="49"/>
        <v>-18034.656409279571</v>
      </c>
      <c r="H47" s="12"/>
      <c r="I47" s="44"/>
      <c r="J47" s="45"/>
      <c r="K47" s="46"/>
      <c r="L47" s="46"/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21"/>
      <c r="F49" s="21"/>
      <c r="G49" s="11"/>
      <c r="H49" s="6"/>
      <c r="I49" s="6"/>
      <c r="J49" s="38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38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8" t="s">
        <v>161</v>
      </c>
      <c r="B52" s="439"/>
      <c r="C52" s="1"/>
      <c r="D52" s="2"/>
      <c r="E52" s="2"/>
      <c r="F52" s="1"/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5"/>
      <c r="D53" s="2"/>
      <c r="E53" s="1"/>
      <c r="F53" s="1"/>
      <c r="G53" s="1"/>
      <c r="H53" s="1"/>
      <c r="I53" s="1"/>
      <c r="J53" s="1"/>
      <c r="K53" s="1"/>
      <c r="L53" s="1"/>
    </row>
    <row r="54" spans="1:12">
      <c r="A54" s="6" t="s">
        <v>3</v>
      </c>
      <c r="B54" s="7" t="s">
        <v>4</v>
      </c>
      <c r="C54" s="8"/>
      <c r="D54" s="9"/>
      <c r="E54" s="9"/>
      <c r="F54" s="8"/>
      <c r="G54" s="8"/>
      <c r="H54" s="8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29"/>
      <c r="D55" s="30"/>
      <c r="E55" s="6"/>
      <c r="F55" s="29"/>
      <c r="G55" s="6"/>
      <c r="H55" s="6"/>
      <c r="I55" s="6"/>
      <c r="J55" s="6"/>
      <c r="K55" s="6"/>
      <c r="L55" s="6"/>
    </row>
    <row r="56" spans="1:12">
      <c r="A56" s="6" t="s">
        <v>7</v>
      </c>
      <c r="B56" s="7" t="s">
        <v>8</v>
      </c>
      <c r="C56" s="30"/>
      <c r="D56" s="30"/>
      <c r="E56" s="30"/>
      <c r="F56" s="30"/>
      <c r="G56" s="30"/>
      <c r="H56" s="30"/>
      <c r="I56" s="6"/>
      <c r="J56" s="6"/>
      <c r="K56" s="6"/>
      <c r="L56" s="6"/>
    </row>
    <row r="57" spans="1:12">
      <c r="A57" s="6" t="s">
        <v>9</v>
      </c>
      <c r="B57" s="7" t="s">
        <v>10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</row>
    <row r="58" spans="1:12">
      <c r="A58" s="6" t="s">
        <v>11</v>
      </c>
      <c r="B58" s="7" t="s">
        <v>12</v>
      </c>
      <c r="C58" s="15"/>
      <c r="D58" s="15"/>
      <c r="E58" s="15"/>
      <c r="F58" s="15"/>
      <c r="G58" s="15"/>
      <c r="H58" s="15"/>
      <c r="I58" s="15"/>
      <c r="J58" s="15"/>
      <c r="K58" s="15"/>
      <c r="L58" s="12"/>
    </row>
    <row r="59" spans="1:12">
      <c r="A59" s="6" t="s">
        <v>13</v>
      </c>
      <c r="B59" s="7" t="s">
        <v>14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</row>
    <row r="60" spans="1:12">
      <c r="A60" s="6" t="s">
        <v>15</v>
      </c>
      <c r="B60" s="16" t="s">
        <v>16</v>
      </c>
      <c r="C60" s="15"/>
      <c r="D60" s="14"/>
      <c r="E60" s="12"/>
      <c r="F60" s="12"/>
      <c r="G60" s="12"/>
      <c r="H60" s="12"/>
      <c r="I60" s="12"/>
      <c r="J60" s="12"/>
      <c r="K60" s="12"/>
      <c r="L60" s="12"/>
    </row>
    <row r="61" spans="1:12">
      <c r="A61" s="6" t="s">
        <v>17</v>
      </c>
      <c r="B61" s="7" t="s">
        <v>18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 spans="1:12">
      <c r="A62" s="6" t="s">
        <v>19</v>
      </c>
      <c r="B62" s="7" t="s">
        <v>20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2">
      <c r="A63" s="6" t="s">
        <v>21</v>
      </c>
      <c r="B63" s="18" t="s">
        <v>22</v>
      </c>
      <c r="C63" s="36"/>
      <c r="D63" s="36"/>
      <c r="E63" s="36"/>
      <c r="F63" s="36"/>
      <c r="G63" s="36"/>
      <c r="H63" s="36"/>
      <c r="I63" s="36"/>
      <c r="J63" s="36"/>
      <c r="K63" s="36"/>
      <c r="L63" s="6"/>
    </row>
    <row r="64" spans="1:12">
      <c r="A64" s="6" t="s">
        <v>23</v>
      </c>
      <c r="B64" s="7" t="s">
        <v>24</v>
      </c>
      <c r="C64" s="20"/>
      <c r="D64" s="27"/>
      <c r="E64" s="10"/>
      <c r="F64" s="10"/>
      <c r="G64" s="10"/>
      <c r="H64" s="10"/>
      <c r="I64" s="10"/>
      <c r="J64" s="10"/>
      <c r="K64" s="10"/>
      <c r="L64" s="10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10"/>
      <c r="D66" s="11"/>
      <c r="E66" s="6"/>
      <c r="F66" s="6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31496062992125984" footer="0.31496062992125984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67"/>
  <sheetViews>
    <sheetView tabSelected="1" topLeftCell="A43" zoomScale="115" zoomScaleNormal="115" workbookViewId="0">
      <selection activeCell="C58" sqref="C58:E58"/>
    </sheetView>
  </sheetViews>
  <sheetFormatPr defaultRowHeight="16.5"/>
  <cols>
    <col min="1" max="1" width="4.5" style="28" customWidth="1"/>
    <col min="2" max="2" width="8" customWidth="1"/>
    <col min="3" max="3" width="12.375" customWidth="1"/>
    <col min="4" max="4" width="12.5" customWidth="1"/>
    <col min="5" max="9" width="12.25" customWidth="1"/>
    <col min="10" max="10" width="12.375" customWidth="1"/>
    <col min="11" max="11" width="12.25" customWidth="1"/>
    <col min="12" max="12" width="12.375" customWidth="1"/>
  </cols>
  <sheetData>
    <row r="1" spans="1:12">
      <c r="A1" s="438" t="s">
        <v>162</v>
      </c>
      <c r="B1" s="439"/>
      <c r="C1" s="1" t="s">
        <v>41</v>
      </c>
      <c r="D1" s="1" t="s">
        <v>42</v>
      </c>
      <c r="E1" s="1" t="s">
        <v>143</v>
      </c>
      <c r="F1" s="1" t="s">
        <v>144</v>
      </c>
      <c r="G1" s="1" t="s">
        <v>164</v>
      </c>
      <c r="H1" s="1" t="s">
        <v>168</v>
      </c>
      <c r="I1" s="1" t="s">
        <v>37</v>
      </c>
      <c r="J1" s="1" t="s">
        <v>170</v>
      </c>
      <c r="K1" s="1" t="s">
        <v>171</v>
      </c>
      <c r="L1" s="1" t="s">
        <v>174</v>
      </c>
    </row>
    <row r="2" spans="1:12">
      <c r="A2" s="3" t="s">
        <v>0</v>
      </c>
      <c r="B2" s="4" t="s">
        <v>1</v>
      </c>
      <c r="C2" s="1" t="s">
        <v>160</v>
      </c>
      <c r="D2" s="1" t="s">
        <v>160</v>
      </c>
      <c r="E2" s="1" t="s">
        <v>163</v>
      </c>
      <c r="F2" s="1" t="s">
        <v>163</v>
      </c>
      <c r="G2" s="1" t="s">
        <v>165</v>
      </c>
      <c r="H2" s="1" t="s">
        <v>169</v>
      </c>
      <c r="I2" s="1" t="s">
        <v>160</v>
      </c>
      <c r="J2" s="1" t="s">
        <v>172</v>
      </c>
      <c r="K2" s="1" t="s">
        <v>173</v>
      </c>
      <c r="L2" s="1" t="s">
        <v>160</v>
      </c>
    </row>
    <row r="3" spans="1:12">
      <c r="A3" s="6" t="s">
        <v>3</v>
      </c>
      <c r="B3" s="7" t="s">
        <v>4</v>
      </c>
      <c r="C3" s="8">
        <v>43899</v>
      </c>
      <c r="D3" s="8">
        <v>43899</v>
      </c>
      <c r="E3" s="8">
        <v>43899</v>
      </c>
      <c r="F3" s="8">
        <v>43899</v>
      </c>
      <c r="G3" s="8">
        <v>43908</v>
      </c>
      <c r="H3" s="8">
        <v>43920</v>
      </c>
      <c r="I3" s="8">
        <v>43921</v>
      </c>
      <c r="J3" s="8">
        <v>43922</v>
      </c>
      <c r="K3" s="8">
        <v>43922</v>
      </c>
      <c r="L3" s="8">
        <v>43922</v>
      </c>
    </row>
    <row r="4" spans="1:12">
      <c r="A4" s="6" t="s">
        <v>5</v>
      </c>
      <c r="B4" s="7" t="s">
        <v>6</v>
      </c>
      <c r="C4" s="29">
        <v>34.1</v>
      </c>
      <c r="D4" s="29">
        <v>34</v>
      </c>
      <c r="E4" s="30">
        <v>33.9</v>
      </c>
      <c r="F4" s="21">
        <v>33.65</v>
      </c>
      <c r="G4" s="30">
        <v>28.6</v>
      </c>
      <c r="H4" s="6">
        <v>28.25</v>
      </c>
      <c r="I4" s="6">
        <v>28.85</v>
      </c>
      <c r="J4" s="6">
        <v>28.95</v>
      </c>
      <c r="K4" s="6">
        <v>28.85</v>
      </c>
      <c r="L4" s="6">
        <v>28.8</v>
      </c>
    </row>
    <row r="5" spans="1:12" ht="17.25" thickBot="1">
      <c r="A5" s="72" t="s">
        <v>7</v>
      </c>
      <c r="B5" s="73" t="s">
        <v>8</v>
      </c>
      <c r="C5" s="74">
        <v>5</v>
      </c>
      <c r="D5" s="74">
        <v>5</v>
      </c>
      <c r="E5" s="90">
        <v>10</v>
      </c>
      <c r="F5" s="91">
        <v>5</v>
      </c>
      <c r="G5" s="91">
        <v>50</v>
      </c>
      <c r="H5" s="72">
        <v>5</v>
      </c>
      <c r="I5" s="72">
        <v>5</v>
      </c>
      <c r="J5" s="72">
        <v>15</v>
      </c>
      <c r="K5" s="72">
        <v>15</v>
      </c>
      <c r="L5" s="72">
        <v>15</v>
      </c>
    </row>
    <row r="6" spans="1:12">
      <c r="A6" s="78" t="s">
        <v>9</v>
      </c>
      <c r="B6" s="79" t="s">
        <v>10</v>
      </c>
      <c r="C6" s="80">
        <f>ROUNDDOWN(+C4*C5*1000,0)</f>
        <v>170500</v>
      </c>
      <c r="D6" s="80">
        <f t="shared" ref="D6:L6" si="0">ROUNDDOWN(+D4*D5*1000,0)</f>
        <v>170000</v>
      </c>
      <c r="E6" s="80">
        <f t="shared" si="0"/>
        <v>339000</v>
      </c>
      <c r="F6" s="80">
        <f t="shared" si="0"/>
        <v>168250</v>
      </c>
      <c r="G6" s="80">
        <f t="shared" si="0"/>
        <v>1430000</v>
      </c>
      <c r="H6" s="80">
        <f t="shared" si="0"/>
        <v>141250</v>
      </c>
      <c r="I6" s="80">
        <f t="shared" si="0"/>
        <v>144250</v>
      </c>
      <c r="J6" s="80">
        <f t="shared" si="0"/>
        <v>434250</v>
      </c>
      <c r="K6" s="80">
        <f t="shared" si="0"/>
        <v>432750</v>
      </c>
      <c r="L6" s="80">
        <f t="shared" si="0"/>
        <v>432000</v>
      </c>
    </row>
    <row r="7" spans="1:12">
      <c r="A7" s="32" t="s">
        <v>11</v>
      </c>
      <c r="B7" s="61" t="s">
        <v>12</v>
      </c>
      <c r="C7" s="33">
        <f>ROUNDDOWN(+C6*0.001425*0.45,0)</f>
        <v>109</v>
      </c>
      <c r="D7" s="33">
        <f t="shared" ref="D7:L7" si="1">ROUNDDOWN(+D6*0.001425*0.45,0)</f>
        <v>109</v>
      </c>
      <c r="E7" s="33">
        <f t="shared" si="1"/>
        <v>217</v>
      </c>
      <c r="F7" s="33">
        <f t="shared" si="1"/>
        <v>107</v>
      </c>
      <c r="G7" s="33">
        <f t="shared" si="1"/>
        <v>916</v>
      </c>
      <c r="H7" s="33">
        <f t="shared" si="1"/>
        <v>90</v>
      </c>
      <c r="I7" s="33">
        <f t="shared" si="1"/>
        <v>92</v>
      </c>
      <c r="J7" s="33">
        <f t="shared" si="1"/>
        <v>278</v>
      </c>
      <c r="K7" s="33">
        <f t="shared" si="1"/>
        <v>277</v>
      </c>
      <c r="L7" s="33">
        <f t="shared" si="1"/>
        <v>277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ht="17.25" thickBot="1">
      <c r="A10" s="81" t="s">
        <v>17</v>
      </c>
      <c r="B10" s="82" t="s">
        <v>18</v>
      </c>
      <c r="C10" s="83">
        <f>SUM(C6:C9)</f>
        <v>170609</v>
      </c>
      <c r="D10" s="83">
        <f>SUM(D6:D9)</f>
        <v>170109</v>
      </c>
      <c r="E10" s="83">
        <f t="shared" ref="E10:F10" si="2">SUM(E6:E9)</f>
        <v>339217</v>
      </c>
      <c r="F10" s="83">
        <f t="shared" si="2"/>
        <v>168357</v>
      </c>
      <c r="G10" s="83">
        <f t="shared" ref="G10:H10" si="3">SUM(G6:G9)</f>
        <v>1430916</v>
      </c>
      <c r="H10" s="83">
        <f t="shared" si="3"/>
        <v>141340</v>
      </c>
      <c r="I10" s="83">
        <f t="shared" ref="I10:K10" si="4">SUM(I6:I9)</f>
        <v>144342</v>
      </c>
      <c r="J10" s="83">
        <f t="shared" si="4"/>
        <v>434528</v>
      </c>
      <c r="K10" s="83">
        <f t="shared" si="4"/>
        <v>433027</v>
      </c>
      <c r="L10" s="83">
        <f t="shared" ref="L10" si="5">SUM(L6:L9)</f>
        <v>432277</v>
      </c>
    </row>
    <row r="11" spans="1:12">
      <c r="A11" s="75" t="s">
        <v>19</v>
      </c>
      <c r="B11" s="76" t="s">
        <v>20</v>
      </c>
      <c r="C11" s="77">
        <f>+C10</f>
        <v>170609</v>
      </c>
      <c r="D11" s="77">
        <f>+C11+D10</f>
        <v>340718</v>
      </c>
      <c r="E11" s="77">
        <f t="shared" ref="E11:I11" si="6">+D11+E10</f>
        <v>679935</v>
      </c>
      <c r="F11" s="77">
        <f t="shared" si="6"/>
        <v>848292</v>
      </c>
      <c r="G11" s="77">
        <f t="shared" si="6"/>
        <v>2279208</v>
      </c>
      <c r="H11" s="77">
        <f t="shared" si="6"/>
        <v>2420548</v>
      </c>
      <c r="I11" s="77">
        <f t="shared" si="6"/>
        <v>2564890</v>
      </c>
      <c r="J11" s="77">
        <f t="shared" ref="J11" si="7">+I11+J10</f>
        <v>2999418</v>
      </c>
      <c r="K11" s="77">
        <f t="shared" ref="K11:L11" si="8">+J11+K10</f>
        <v>3432445</v>
      </c>
      <c r="L11" s="77">
        <f t="shared" si="8"/>
        <v>3864722</v>
      </c>
    </row>
    <row r="12" spans="1:12">
      <c r="A12" s="6" t="s">
        <v>21</v>
      </c>
      <c r="B12" s="18" t="s">
        <v>22</v>
      </c>
      <c r="C12" s="19">
        <f>+C5</f>
        <v>5</v>
      </c>
      <c r="D12" s="19">
        <f>+C12+D5</f>
        <v>10</v>
      </c>
      <c r="E12" s="19">
        <f t="shared" ref="E12:I12" si="9">+D12+E5</f>
        <v>20</v>
      </c>
      <c r="F12" s="19">
        <f t="shared" si="9"/>
        <v>25</v>
      </c>
      <c r="G12" s="19">
        <f t="shared" si="9"/>
        <v>75</v>
      </c>
      <c r="H12" s="19">
        <f t="shared" si="9"/>
        <v>80</v>
      </c>
      <c r="I12" s="19">
        <f t="shared" si="9"/>
        <v>85</v>
      </c>
      <c r="J12" s="19">
        <f t="shared" ref="J12" si="10">+I12+J5</f>
        <v>100</v>
      </c>
      <c r="K12" s="19">
        <f t="shared" ref="K12:L12" si="11">+J12+K5</f>
        <v>115</v>
      </c>
      <c r="L12" s="19">
        <f t="shared" si="11"/>
        <v>130</v>
      </c>
    </row>
    <row r="13" spans="1:12" ht="15.6" customHeight="1">
      <c r="A13" s="6" t="s">
        <v>23</v>
      </c>
      <c r="B13" s="7" t="s">
        <v>24</v>
      </c>
      <c r="C13" s="20">
        <f>+C11/C12/1000</f>
        <v>34.1218</v>
      </c>
      <c r="D13" s="20">
        <f>+D11/D12/1000</f>
        <v>34.071800000000003</v>
      </c>
      <c r="E13" s="20">
        <f t="shared" ref="E13:F13" si="12">+E11/E12/1000</f>
        <v>33.996749999999999</v>
      </c>
      <c r="F13" s="20">
        <f t="shared" si="12"/>
        <v>33.93168</v>
      </c>
      <c r="G13" s="20">
        <f t="shared" ref="G13:H13" si="13">+G11/G12/1000</f>
        <v>30.38944</v>
      </c>
      <c r="H13" s="20">
        <f t="shared" si="13"/>
        <v>30.25685</v>
      </c>
      <c r="I13" s="34">
        <f t="shared" ref="I13:K13" si="14">+I11/I12/1000</f>
        <v>30.175176470588234</v>
      </c>
      <c r="J13" s="34">
        <f t="shared" si="14"/>
        <v>29.99418</v>
      </c>
      <c r="K13" s="34">
        <f t="shared" si="14"/>
        <v>29.847347826086956</v>
      </c>
      <c r="L13" s="34">
        <f t="shared" ref="L13" si="15">+L11/L12/1000</f>
        <v>29.728630769230772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162</v>
      </c>
      <c r="B18" s="439"/>
      <c r="C18" s="1" t="s">
        <v>65</v>
      </c>
      <c r="D18" s="1" t="s">
        <v>175</v>
      </c>
      <c r="E18" s="1" t="s">
        <v>176</v>
      </c>
      <c r="F18" s="1" t="s">
        <v>177</v>
      </c>
      <c r="G18" s="1" t="s">
        <v>178</v>
      </c>
      <c r="H18" s="1" t="s">
        <v>179</v>
      </c>
      <c r="I18" s="1" t="s">
        <v>180</v>
      </c>
      <c r="J18" s="1" t="s">
        <v>186</v>
      </c>
      <c r="K18" s="1" t="s">
        <v>222</v>
      </c>
      <c r="L18" s="1" t="s">
        <v>222</v>
      </c>
    </row>
    <row r="19" spans="1:12">
      <c r="A19" s="3" t="s">
        <v>0</v>
      </c>
      <c r="B19" s="4" t="s">
        <v>1</v>
      </c>
      <c r="C19" s="1" t="s">
        <v>160</v>
      </c>
      <c r="D19" s="1" t="s">
        <v>160</v>
      </c>
      <c r="E19" s="1" t="s">
        <v>163</v>
      </c>
      <c r="F19" s="1" t="s">
        <v>163</v>
      </c>
      <c r="G19" s="1" t="s">
        <v>163</v>
      </c>
      <c r="H19" s="1" t="s">
        <v>163</v>
      </c>
      <c r="I19" s="1" t="s">
        <v>163</v>
      </c>
      <c r="J19" s="1" t="s">
        <v>160</v>
      </c>
      <c r="K19" s="1" t="s">
        <v>192</v>
      </c>
      <c r="L19" s="1" t="s">
        <v>193</v>
      </c>
    </row>
    <row r="20" spans="1:12">
      <c r="A20" s="6" t="s">
        <v>3</v>
      </c>
      <c r="B20" s="7" t="s">
        <v>4</v>
      </c>
      <c r="C20" s="8">
        <v>43922</v>
      </c>
      <c r="D20" s="8">
        <v>43922</v>
      </c>
      <c r="E20" s="8">
        <v>43922</v>
      </c>
      <c r="F20" s="8">
        <v>43922</v>
      </c>
      <c r="G20" s="8">
        <v>43922</v>
      </c>
      <c r="H20" s="8">
        <v>43922</v>
      </c>
      <c r="I20" s="8">
        <v>43922</v>
      </c>
      <c r="J20" s="8" t="s">
        <v>189</v>
      </c>
      <c r="K20" s="8" t="s">
        <v>223</v>
      </c>
      <c r="L20" s="8" t="s">
        <v>224</v>
      </c>
    </row>
    <row r="21" spans="1:12">
      <c r="A21" s="6" t="s">
        <v>5</v>
      </c>
      <c r="B21" s="7" t="s">
        <v>6</v>
      </c>
      <c r="C21" s="29">
        <v>28.75</v>
      </c>
      <c r="D21" s="29">
        <v>28.7</v>
      </c>
      <c r="E21" s="29">
        <v>28.65</v>
      </c>
      <c r="F21" s="29">
        <v>28.6</v>
      </c>
      <c r="G21" s="29">
        <v>28.55</v>
      </c>
      <c r="H21" s="29">
        <v>28.5</v>
      </c>
      <c r="I21" s="29">
        <v>28.45</v>
      </c>
      <c r="J21" s="66">
        <v>-1.99996592</v>
      </c>
      <c r="K21" s="66">
        <v>-1.9986940399999999</v>
      </c>
      <c r="L21" s="66">
        <v>-2.2602808200000002</v>
      </c>
    </row>
    <row r="22" spans="1:12" ht="17.25" thickBot="1">
      <c r="A22" s="72" t="s">
        <v>7</v>
      </c>
      <c r="B22" s="73" t="s">
        <v>8</v>
      </c>
      <c r="C22" s="74">
        <v>10</v>
      </c>
      <c r="D22" s="74">
        <v>5</v>
      </c>
      <c r="E22" s="74">
        <v>5</v>
      </c>
      <c r="F22" s="74">
        <v>10</v>
      </c>
      <c r="G22" s="74">
        <v>5</v>
      </c>
      <c r="H22" s="74">
        <v>5</v>
      </c>
      <c r="I22" s="74">
        <v>5</v>
      </c>
      <c r="J22" s="92">
        <f>I29</f>
        <v>175</v>
      </c>
      <c r="K22" s="93">
        <v>175</v>
      </c>
      <c r="L22" s="93">
        <v>175</v>
      </c>
    </row>
    <row r="23" spans="1:12">
      <c r="A23" s="78" t="s">
        <v>9</v>
      </c>
      <c r="B23" s="79" t="s">
        <v>10</v>
      </c>
      <c r="C23" s="80">
        <f>+C21*C22*1000</f>
        <v>287500</v>
      </c>
      <c r="D23" s="80">
        <f>+D21*D22*1000</f>
        <v>143500</v>
      </c>
      <c r="E23" s="80">
        <f t="shared" ref="E23:L23" si="16">+E21*E22*1000</f>
        <v>143250</v>
      </c>
      <c r="F23" s="80">
        <f t="shared" si="16"/>
        <v>286000</v>
      </c>
      <c r="G23" s="80">
        <f t="shared" si="16"/>
        <v>142750</v>
      </c>
      <c r="H23" s="80">
        <f t="shared" si="16"/>
        <v>142500</v>
      </c>
      <c r="I23" s="80">
        <f t="shared" si="16"/>
        <v>142250</v>
      </c>
      <c r="J23" s="80">
        <f>J21*J22*1000</f>
        <v>-349994.03600000002</v>
      </c>
      <c r="K23" s="80">
        <f t="shared" si="16"/>
        <v>-349771.45699999999</v>
      </c>
      <c r="L23" s="80">
        <f>ROUNDDOWN(+L21*L22*1000,0)</f>
        <v>-395549</v>
      </c>
    </row>
    <row r="24" spans="1:12">
      <c r="A24" s="32" t="s">
        <v>11</v>
      </c>
      <c r="B24" s="61" t="s">
        <v>12</v>
      </c>
      <c r="C24" s="33">
        <f>ROUNDDOWN(+C23*0.001425*0.45,0)</f>
        <v>184</v>
      </c>
      <c r="D24" s="33">
        <f t="shared" ref="D24:I24" si="17">ROUNDDOWN(+D23*0.001425*0.45,0)</f>
        <v>92</v>
      </c>
      <c r="E24" s="33">
        <f t="shared" si="17"/>
        <v>91</v>
      </c>
      <c r="F24" s="33">
        <f t="shared" si="17"/>
        <v>183</v>
      </c>
      <c r="G24" s="33">
        <f t="shared" si="17"/>
        <v>91</v>
      </c>
      <c r="H24" s="33">
        <f t="shared" si="17"/>
        <v>91</v>
      </c>
      <c r="I24" s="33">
        <f t="shared" si="17"/>
        <v>91</v>
      </c>
      <c r="J24" s="31">
        <v>10</v>
      </c>
      <c r="K24" s="31">
        <v>10</v>
      </c>
      <c r="L24" s="31">
        <v>10</v>
      </c>
    </row>
    <row r="25" spans="1:12">
      <c r="A25" s="32" t="s">
        <v>13</v>
      </c>
      <c r="B25" s="61" t="s">
        <v>14</v>
      </c>
      <c r="C25" s="33"/>
      <c r="D25" s="33"/>
      <c r="E25" s="33"/>
      <c r="F25" s="33"/>
      <c r="G25" s="33"/>
      <c r="H25" s="33"/>
      <c r="I25" s="33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3"/>
      <c r="E26" s="33"/>
      <c r="F26" s="33"/>
      <c r="G26" s="33"/>
      <c r="H26" s="33"/>
      <c r="I26" s="33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SUM(C23:C26)</f>
        <v>287684</v>
      </c>
      <c r="D27" s="83">
        <f>SUM(D23:D26)</f>
        <v>143592</v>
      </c>
      <c r="E27" s="83">
        <f t="shared" ref="E27:L27" si="18">SUM(E23:E26)</f>
        <v>143341</v>
      </c>
      <c r="F27" s="83">
        <f t="shared" si="18"/>
        <v>286183</v>
      </c>
      <c r="G27" s="83">
        <f t="shared" si="18"/>
        <v>142841</v>
      </c>
      <c r="H27" s="83">
        <f t="shared" si="18"/>
        <v>142591</v>
      </c>
      <c r="I27" s="83">
        <f t="shared" si="18"/>
        <v>142341</v>
      </c>
      <c r="J27" s="83">
        <f t="shared" si="18"/>
        <v>-349984.03600000002</v>
      </c>
      <c r="K27" s="83">
        <f t="shared" si="18"/>
        <v>-349761.45699999999</v>
      </c>
      <c r="L27" s="83">
        <f t="shared" si="18"/>
        <v>-395539</v>
      </c>
    </row>
    <row r="28" spans="1:12">
      <c r="A28" s="75" t="s">
        <v>19</v>
      </c>
      <c r="B28" s="76" t="s">
        <v>20</v>
      </c>
      <c r="C28" s="77">
        <f>+L11+C27</f>
        <v>4152406</v>
      </c>
      <c r="D28" s="94">
        <f>+C28+D27</f>
        <v>4295998</v>
      </c>
      <c r="E28" s="94">
        <f t="shared" ref="E28:I28" si="19">+D28+E27</f>
        <v>4439339</v>
      </c>
      <c r="F28" s="94">
        <f t="shared" si="19"/>
        <v>4725522</v>
      </c>
      <c r="G28" s="94">
        <f t="shared" si="19"/>
        <v>4868363</v>
      </c>
      <c r="H28" s="94">
        <f t="shared" si="19"/>
        <v>5010954</v>
      </c>
      <c r="I28" s="94">
        <f t="shared" si="19"/>
        <v>5153295</v>
      </c>
      <c r="J28" s="77">
        <f>I28+J27</f>
        <v>4803310.9639999997</v>
      </c>
      <c r="K28" s="77">
        <f t="shared" ref="K28" si="20">J28+K27</f>
        <v>4453549.5069999993</v>
      </c>
      <c r="L28" s="77">
        <f>K28+L27</f>
        <v>4058010.5069999993</v>
      </c>
    </row>
    <row r="29" spans="1:12">
      <c r="A29" s="6" t="s">
        <v>21</v>
      </c>
      <c r="B29" s="18" t="s">
        <v>22</v>
      </c>
      <c r="C29" s="19">
        <f>+L12+C22</f>
        <v>140</v>
      </c>
      <c r="D29" s="26">
        <f>+C29+D22</f>
        <v>145</v>
      </c>
      <c r="E29" s="26">
        <f t="shared" ref="E29:I29" si="21">+D29+E22</f>
        <v>150</v>
      </c>
      <c r="F29" s="26">
        <f t="shared" si="21"/>
        <v>160</v>
      </c>
      <c r="G29" s="26">
        <f t="shared" si="21"/>
        <v>165</v>
      </c>
      <c r="H29" s="26">
        <f t="shared" si="21"/>
        <v>170</v>
      </c>
      <c r="I29" s="26">
        <f t="shared" si="21"/>
        <v>175</v>
      </c>
      <c r="J29" s="17">
        <f>J22</f>
        <v>175</v>
      </c>
      <c r="K29" s="17">
        <f t="shared" ref="K29:L29" si="22">K22</f>
        <v>175</v>
      </c>
      <c r="L29" s="17">
        <f t="shared" si="22"/>
        <v>175</v>
      </c>
    </row>
    <row r="30" spans="1:12">
      <c r="A30" s="6" t="s">
        <v>23</v>
      </c>
      <c r="B30" s="7" t="s">
        <v>24</v>
      </c>
      <c r="C30" s="20">
        <f>+C28/C29/1000</f>
        <v>29.660042857142855</v>
      </c>
      <c r="D30" s="20">
        <f>+D28/D29/1000</f>
        <v>29.627572413793104</v>
      </c>
      <c r="E30" s="20">
        <f t="shared" ref="E30:I30" si="23">+E28/E29/1000</f>
        <v>29.595593333333333</v>
      </c>
      <c r="F30" s="20">
        <f t="shared" si="23"/>
        <v>29.534512500000002</v>
      </c>
      <c r="G30" s="20">
        <f t="shared" si="23"/>
        <v>29.505230303030306</v>
      </c>
      <c r="H30" s="20">
        <f t="shared" si="23"/>
        <v>29.476200000000002</v>
      </c>
      <c r="I30" s="20">
        <f t="shared" si="23"/>
        <v>29.447400000000002</v>
      </c>
      <c r="J30" s="45">
        <f>J28/J29/1000</f>
        <v>27.447491222857142</v>
      </c>
      <c r="K30" s="45">
        <f t="shared" ref="K30:L30" si="24">K28/K29/1000</f>
        <v>25.448854325714279</v>
      </c>
      <c r="L30" s="45">
        <f t="shared" si="24"/>
        <v>23.188631468571423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 t="s">
        <v>184</v>
      </c>
      <c r="K31" s="6" t="s">
        <v>225</v>
      </c>
      <c r="L31" s="6" t="s">
        <v>226</v>
      </c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>
        <v>2</v>
      </c>
      <c r="K32" s="6">
        <v>2</v>
      </c>
      <c r="L32" s="59">
        <v>2.2999999999999998</v>
      </c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38" t="s">
        <v>162</v>
      </c>
      <c r="B35" s="439"/>
      <c r="C35" s="1" t="s">
        <v>230</v>
      </c>
      <c r="D35" s="1" t="s">
        <v>222</v>
      </c>
      <c r="E35" s="1" t="s">
        <v>289</v>
      </c>
      <c r="F35" s="1" t="s">
        <v>290</v>
      </c>
      <c r="G35" s="1" t="s">
        <v>576</v>
      </c>
      <c r="H35" s="1" t="s">
        <v>577</v>
      </c>
      <c r="I35" s="1" t="s">
        <v>578</v>
      </c>
      <c r="J35" s="1" t="s">
        <v>631</v>
      </c>
      <c r="K35" s="1" t="s">
        <v>203</v>
      </c>
      <c r="L35" s="1" t="s">
        <v>635</v>
      </c>
    </row>
    <row r="36" spans="1:12">
      <c r="A36" s="3" t="s">
        <v>0</v>
      </c>
      <c r="B36" s="4" t="s">
        <v>1</v>
      </c>
      <c r="C36" s="1" t="s">
        <v>243</v>
      </c>
      <c r="D36" s="1" t="s">
        <v>227</v>
      </c>
      <c r="E36" s="1" t="s">
        <v>449</v>
      </c>
      <c r="F36" s="1" t="s">
        <v>449</v>
      </c>
      <c r="G36" s="1" t="s">
        <v>449</v>
      </c>
      <c r="H36" s="1" t="s">
        <v>449</v>
      </c>
      <c r="I36" s="1" t="s">
        <v>449</v>
      </c>
      <c r="J36" s="1" t="s">
        <v>581</v>
      </c>
      <c r="K36" s="1" t="s">
        <v>633</v>
      </c>
      <c r="L36" s="1" t="s">
        <v>636</v>
      </c>
    </row>
    <row r="37" spans="1:12">
      <c r="A37" s="6" t="s">
        <v>3</v>
      </c>
      <c r="B37" s="7" t="s">
        <v>4</v>
      </c>
      <c r="C37" s="8" t="s">
        <v>260</v>
      </c>
      <c r="D37" s="8" t="s">
        <v>259</v>
      </c>
      <c r="E37" s="8" t="s">
        <v>575</v>
      </c>
      <c r="F37" s="8" t="s">
        <v>118</v>
      </c>
      <c r="G37" s="8" t="s">
        <v>118</v>
      </c>
      <c r="H37" s="8" t="s">
        <v>118</v>
      </c>
      <c r="I37" s="8" t="s">
        <v>118</v>
      </c>
      <c r="J37" s="8" t="s">
        <v>632</v>
      </c>
      <c r="K37" s="8" t="s">
        <v>632</v>
      </c>
      <c r="L37" s="8" t="s">
        <v>637</v>
      </c>
    </row>
    <row r="38" spans="1:12">
      <c r="A38" s="6" t="s">
        <v>5</v>
      </c>
      <c r="B38" s="7" t="s">
        <v>6</v>
      </c>
      <c r="C38" s="66">
        <v>-2.2602808200000002</v>
      </c>
      <c r="D38" s="66">
        <v>-1.8959999999999999</v>
      </c>
      <c r="E38" s="30">
        <v>52.6</v>
      </c>
      <c r="F38" s="21">
        <v>53.3</v>
      </c>
      <c r="G38" s="30">
        <v>53.6</v>
      </c>
      <c r="H38" s="6">
        <v>53.8</v>
      </c>
      <c r="I38" s="6">
        <v>54</v>
      </c>
      <c r="J38" s="6">
        <v>53.3</v>
      </c>
      <c r="K38" s="6">
        <v>53.6</v>
      </c>
      <c r="L38" s="6">
        <v>52.8</v>
      </c>
    </row>
    <row r="39" spans="1:12" ht="17.25" thickBot="1">
      <c r="A39" s="72" t="s">
        <v>7</v>
      </c>
      <c r="B39" s="73" t="s">
        <v>8</v>
      </c>
      <c r="C39" s="93">
        <v>175</v>
      </c>
      <c r="D39" s="93">
        <v>175</v>
      </c>
      <c r="E39" s="90">
        <v>-2</v>
      </c>
      <c r="F39" s="91">
        <v>-3</v>
      </c>
      <c r="G39" s="91">
        <v>-5</v>
      </c>
      <c r="H39" s="72">
        <v>-5</v>
      </c>
      <c r="I39" s="72">
        <v>-5</v>
      </c>
      <c r="J39" s="72">
        <v>-5</v>
      </c>
      <c r="K39" s="72">
        <v>-5</v>
      </c>
      <c r="L39" s="72">
        <v>-10</v>
      </c>
    </row>
    <row r="40" spans="1:12">
      <c r="A40" s="78" t="s">
        <v>9</v>
      </c>
      <c r="B40" s="79" t="s">
        <v>10</v>
      </c>
      <c r="C40" s="80">
        <v>-395549.14350000001</v>
      </c>
      <c r="D40" s="80">
        <f>ROUNDDOWN(+D38*D39*1000,0)</f>
        <v>-331800</v>
      </c>
      <c r="E40" s="80">
        <f t="shared" ref="E40:L40" si="25">ROUNDDOWN(+E38*E39*1000,0)</f>
        <v>-105200</v>
      </c>
      <c r="F40" s="80">
        <f t="shared" si="25"/>
        <v>-159900</v>
      </c>
      <c r="G40" s="80">
        <f t="shared" si="25"/>
        <v>-268000</v>
      </c>
      <c r="H40" s="80">
        <f t="shared" si="25"/>
        <v>-269000</v>
      </c>
      <c r="I40" s="80">
        <f t="shared" si="25"/>
        <v>-270000</v>
      </c>
      <c r="J40" s="80">
        <f t="shared" si="25"/>
        <v>-266500</v>
      </c>
      <c r="K40" s="80">
        <f t="shared" si="25"/>
        <v>-268000</v>
      </c>
      <c r="L40" s="80">
        <f t="shared" si="25"/>
        <v>-528000</v>
      </c>
    </row>
    <row r="41" spans="1:12">
      <c r="A41" s="32" t="s">
        <v>11</v>
      </c>
      <c r="B41" s="61" t="s">
        <v>12</v>
      </c>
      <c r="C41" s="33">
        <v>10</v>
      </c>
      <c r="D41" s="33">
        <v>10</v>
      </c>
      <c r="E41" s="33">
        <f>ROUNDDOWN((ABS(E40)*0.001425*0.45),0)</f>
        <v>67</v>
      </c>
      <c r="F41" s="33">
        <f t="shared" ref="F41:L41" si="26">ROUNDDOWN((ABS(F40)*0.001425*0.45),0)</f>
        <v>102</v>
      </c>
      <c r="G41" s="33">
        <f t="shared" si="26"/>
        <v>171</v>
      </c>
      <c r="H41" s="33">
        <f t="shared" si="26"/>
        <v>172</v>
      </c>
      <c r="I41" s="33">
        <f t="shared" si="26"/>
        <v>173</v>
      </c>
      <c r="J41" s="33">
        <f t="shared" si="26"/>
        <v>170</v>
      </c>
      <c r="K41" s="33">
        <f t="shared" si="26"/>
        <v>171</v>
      </c>
      <c r="L41" s="33">
        <f t="shared" si="26"/>
        <v>338</v>
      </c>
    </row>
    <row r="42" spans="1:12">
      <c r="A42" s="32" t="s">
        <v>13</v>
      </c>
      <c r="B42" s="61" t="s">
        <v>14</v>
      </c>
      <c r="C42" s="33"/>
      <c r="D42" s="33"/>
      <c r="E42" s="33">
        <f t="shared" ref="E42:K42" si="27">-ROUNDDOWN(E40*3/1000,0)</f>
        <v>315</v>
      </c>
      <c r="F42" s="33">
        <f t="shared" si="27"/>
        <v>479</v>
      </c>
      <c r="G42" s="33">
        <f t="shared" si="27"/>
        <v>804</v>
      </c>
      <c r="H42" s="33">
        <f t="shared" si="27"/>
        <v>807</v>
      </c>
      <c r="I42" s="33">
        <f t="shared" si="27"/>
        <v>810</v>
      </c>
      <c r="J42" s="33">
        <f t="shared" si="27"/>
        <v>799</v>
      </c>
      <c r="K42" s="33">
        <f t="shared" si="27"/>
        <v>804</v>
      </c>
      <c r="L42" s="33">
        <f t="shared" ref="L42" si="28">-ROUNDDOWN(L40*3/1000,0)</f>
        <v>1584</v>
      </c>
    </row>
    <row r="43" spans="1:12">
      <c r="A43" s="32" t="s">
        <v>15</v>
      </c>
      <c r="B43" s="62" t="s">
        <v>16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ht="17.25" thickBot="1">
      <c r="A44" s="81" t="s">
        <v>17</v>
      </c>
      <c r="B44" s="82" t="s">
        <v>18</v>
      </c>
      <c r="C44" s="83">
        <v>-395539.14350000001</v>
      </c>
      <c r="D44" s="83">
        <f>SUM(D40:D43)</f>
        <v>-331790</v>
      </c>
      <c r="E44" s="83">
        <f t="shared" ref="E44:I44" si="29">SUM(E40:E43)</f>
        <v>-104818</v>
      </c>
      <c r="F44" s="83">
        <f t="shared" si="29"/>
        <v>-159319</v>
      </c>
      <c r="G44" s="83">
        <f t="shared" si="29"/>
        <v>-267025</v>
      </c>
      <c r="H44" s="83">
        <f t="shared" si="29"/>
        <v>-268021</v>
      </c>
      <c r="I44" s="83">
        <f t="shared" si="29"/>
        <v>-269017</v>
      </c>
      <c r="J44" s="83">
        <f t="shared" ref="J44:K44" si="30">SUM(J40:J43)</f>
        <v>-265531</v>
      </c>
      <c r="K44" s="83">
        <f t="shared" si="30"/>
        <v>-267025</v>
      </c>
      <c r="L44" s="83">
        <f t="shared" ref="L44" si="31">SUM(L40:L43)</f>
        <v>-526078</v>
      </c>
    </row>
    <row r="45" spans="1:12">
      <c r="A45" s="75" t="s">
        <v>19</v>
      </c>
      <c r="B45" s="76" t="s">
        <v>20</v>
      </c>
      <c r="C45" s="77">
        <v>4058011</v>
      </c>
      <c r="D45" s="77">
        <f>C45+D44</f>
        <v>3726221</v>
      </c>
      <c r="E45" s="77">
        <f t="shared" ref="E45" si="32">E44+D45</f>
        <v>3621403</v>
      </c>
      <c r="F45" s="77">
        <f t="shared" ref="F45" si="33">F44+E45</f>
        <v>3462084</v>
      </c>
      <c r="G45" s="77">
        <f t="shared" ref="G45" si="34">G44+F45</f>
        <v>3195059</v>
      </c>
      <c r="H45" s="77">
        <f t="shared" ref="H45" si="35">H44+G45</f>
        <v>2927038</v>
      </c>
      <c r="I45" s="77">
        <f t="shared" ref="I45:L45" si="36">I44+H45</f>
        <v>2658021</v>
      </c>
      <c r="J45" s="77">
        <f t="shared" si="36"/>
        <v>2392490</v>
      </c>
      <c r="K45" s="77">
        <f t="shared" si="36"/>
        <v>2125465</v>
      </c>
      <c r="L45" s="77">
        <f t="shared" si="36"/>
        <v>1599387</v>
      </c>
    </row>
    <row r="46" spans="1:12">
      <c r="A46" s="6" t="s">
        <v>21</v>
      </c>
      <c r="B46" s="18" t="s">
        <v>22</v>
      </c>
      <c r="C46" s="95">
        <v>175</v>
      </c>
      <c r="D46" s="95">
        <v>175</v>
      </c>
      <c r="E46" s="19">
        <f t="shared" ref="E46" si="37">+D46+E39</f>
        <v>173</v>
      </c>
      <c r="F46" s="19">
        <f t="shared" ref="F46" si="38">+E46+F39</f>
        <v>170</v>
      </c>
      <c r="G46" s="19">
        <f t="shared" ref="G46" si="39">+F46+G39</f>
        <v>165</v>
      </c>
      <c r="H46" s="19">
        <f t="shared" ref="H46" si="40">+G46+H39</f>
        <v>160</v>
      </c>
      <c r="I46" s="19">
        <f t="shared" ref="I46" si="41">+H46+I39</f>
        <v>155</v>
      </c>
      <c r="J46" s="19">
        <f t="shared" ref="J46" si="42">+I46+J39</f>
        <v>150</v>
      </c>
      <c r="K46" s="19">
        <f t="shared" ref="K46:L46" si="43">+J46+K39</f>
        <v>145</v>
      </c>
      <c r="L46" s="19">
        <f t="shared" si="43"/>
        <v>135</v>
      </c>
    </row>
    <row r="47" spans="1:12">
      <c r="A47" s="6" t="s">
        <v>23</v>
      </c>
      <c r="B47" s="7" t="s">
        <v>24</v>
      </c>
      <c r="C47" s="44">
        <v>23.188630648571422</v>
      </c>
      <c r="D47" s="44">
        <f>+D45/D46/1000</f>
        <v>21.29269142857143</v>
      </c>
      <c r="E47" s="20">
        <f t="shared" ref="E47:I47" si="44">+E45/E46/1000</f>
        <v>20.932965317919077</v>
      </c>
      <c r="F47" s="20">
        <f t="shared" si="44"/>
        <v>20.365200000000002</v>
      </c>
      <c r="G47" s="20">
        <f t="shared" si="44"/>
        <v>19.363993939393939</v>
      </c>
      <c r="H47" s="20">
        <f t="shared" si="44"/>
        <v>18.2939875</v>
      </c>
      <c r="I47" s="34">
        <f t="shared" si="44"/>
        <v>17.14852258064516</v>
      </c>
      <c r="J47" s="34">
        <f t="shared" ref="J47:K47" si="45">+J45/J46/1000</f>
        <v>15.949933333333332</v>
      </c>
      <c r="K47" s="34">
        <f t="shared" si="45"/>
        <v>14.658379310344827</v>
      </c>
      <c r="L47" s="34">
        <f t="shared" ref="L47" si="46">+L45/L46/1000</f>
        <v>11.847311111111111</v>
      </c>
    </row>
    <row r="48" spans="1:12">
      <c r="A48" s="6" t="s">
        <v>25</v>
      </c>
      <c r="B48" s="7" t="s">
        <v>26</v>
      </c>
      <c r="C48" s="6" t="s">
        <v>261</v>
      </c>
      <c r="D48" s="6" t="s">
        <v>262</v>
      </c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66">
        <v>2.2999999999999998</v>
      </c>
      <c r="D49" s="6">
        <v>1.8959999999999999</v>
      </c>
      <c r="E49" s="21"/>
      <c r="F49" s="21"/>
      <c r="G49" s="11"/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6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8" t="s">
        <v>162</v>
      </c>
      <c r="B52" s="439"/>
      <c r="C52" s="1" t="s">
        <v>638</v>
      </c>
      <c r="D52" s="1" t="s">
        <v>640</v>
      </c>
      <c r="E52" s="1" t="s">
        <v>209</v>
      </c>
      <c r="F52" s="1" t="s">
        <v>88</v>
      </c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1" t="s">
        <v>636</v>
      </c>
      <c r="D53" s="1" t="s">
        <v>641</v>
      </c>
      <c r="E53" s="1" t="s">
        <v>641</v>
      </c>
      <c r="F53" s="1" t="s">
        <v>521</v>
      </c>
      <c r="G53" s="1"/>
      <c r="H53" s="1"/>
      <c r="I53" s="1"/>
      <c r="J53" s="1"/>
      <c r="K53" s="1"/>
      <c r="L53" s="1"/>
    </row>
    <row r="54" spans="1:12">
      <c r="A54" s="6" t="s">
        <v>3</v>
      </c>
      <c r="B54" s="7" t="s">
        <v>4</v>
      </c>
      <c r="C54" s="8" t="s">
        <v>637</v>
      </c>
      <c r="D54" s="8" t="s">
        <v>642</v>
      </c>
      <c r="E54" s="8" t="s">
        <v>642</v>
      </c>
      <c r="F54" s="8" t="s">
        <v>639</v>
      </c>
      <c r="G54" s="8"/>
      <c r="H54" s="8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6">
        <v>52.9</v>
      </c>
      <c r="D55" s="29">
        <v>53.5</v>
      </c>
      <c r="E55" s="29">
        <v>53.6</v>
      </c>
      <c r="F55" s="66">
        <v>-2.0486249999999999</v>
      </c>
      <c r="G55" s="29"/>
      <c r="H55" s="29"/>
      <c r="I55" s="29"/>
      <c r="J55" s="6"/>
      <c r="K55" s="6"/>
      <c r="L55" s="66"/>
    </row>
    <row r="56" spans="1:12" ht="17.25" thickBot="1">
      <c r="A56" s="6" t="s">
        <v>7</v>
      </c>
      <c r="B56" s="7" t="s">
        <v>8</v>
      </c>
      <c r="C56" s="72">
        <v>-5</v>
      </c>
      <c r="D56" s="74">
        <v>-5</v>
      </c>
      <c r="E56" s="74">
        <v>-5</v>
      </c>
      <c r="F56" s="93">
        <v>120</v>
      </c>
      <c r="G56" s="74"/>
      <c r="H56" s="74"/>
      <c r="I56" s="74"/>
      <c r="J56" s="72"/>
      <c r="K56" s="72"/>
      <c r="L56" s="93"/>
    </row>
    <row r="57" spans="1:12">
      <c r="A57" s="6" t="s">
        <v>9</v>
      </c>
      <c r="B57" s="7" t="s">
        <v>10</v>
      </c>
      <c r="C57" s="80">
        <f t="shared" ref="C57:F57" si="47">+C55*C56*1000</f>
        <v>-264500</v>
      </c>
      <c r="D57" s="80">
        <f t="shared" si="47"/>
        <v>-267500</v>
      </c>
      <c r="E57" s="80">
        <f t="shared" si="47"/>
        <v>-268000</v>
      </c>
      <c r="F57" s="80">
        <f t="shared" si="47"/>
        <v>-245834.99999999997</v>
      </c>
      <c r="G57" s="80"/>
      <c r="H57" s="80"/>
      <c r="I57" s="80"/>
      <c r="J57" s="80"/>
      <c r="K57" s="80"/>
      <c r="L57" s="80"/>
    </row>
    <row r="58" spans="1:12">
      <c r="A58" s="6" t="s">
        <v>11</v>
      </c>
      <c r="B58" s="7" t="s">
        <v>12</v>
      </c>
      <c r="C58" s="33">
        <f>ROUNDDOWN((ABS(C57)*0.001425*0.45),0)</f>
        <v>169</v>
      </c>
      <c r="D58" s="33">
        <f t="shared" ref="D58:E58" si="48">ROUNDDOWN((ABS(D57)*0.001425*0.45),0)</f>
        <v>171</v>
      </c>
      <c r="E58" s="33">
        <f t="shared" si="48"/>
        <v>171</v>
      </c>
      <c r="F58" s="31">
        <v>10</v>
      </c>
      <c r="G58" s="33"/>
      <c r="H58" s="33"/>
      <c r="I58" s="33"/>
      <c r="J58" s="33"/>
      <c r="K58" s="33"/>
      <c r="L58" s="31"/>
    </row>
    <row r="59" spans="1:12">
      <c r="A59" s="6" t="s">
        <v>13</v>
      </c>
      <c r="B59" s="7" t="s">
        <v>14</v>
      </c>
      <c r="C59" s="33">
        <f t="shared" ref="C59:E59" si="49">-ROUNDDOWN(C57*3/1000,0)</f>
        <v>793</v>
      </c>
      <c r="D59" s="33">
        <f t="shared" si="49"/>
        <v>802</v>
      </c>
      <c r="E59" s="33">
        <f t="shared" si="49"/>
        <v>804</v>
      </c>
      <c r="F59" s="31"/>
      <c r="G59" s="33"/>
      <c r="H59" s="33"/>
      <c r="I59" s="33"/>
      <c r="J59" s="33"/>
      <c r="K59" s="33"/>
      <c r="L59" s="31"/>
    </row>
    <row r="60" spans="1:12">
      <c r="A60" s="6" t="s">
        <v>15</v>
      </c>
      <c r="B60" s="16" t="s">
        <v>16</v>
      </c>
      <c r="C60" s="33"/>
      <c r="D60" s="33"/>
      <c r="E60" s="33"/>
      <c r="F60" s="31"/>
      <c r="G60" s="33"/>
      <c r="H60" s="33"/>
      <c r="I60" s="33"/>
      <c r="J60" s="33"/>
      <c r="K60" s="33"/>
      <c r="L60" s="31"/>
    </row>
    <row r="61" spans="1:12" ht="17.25" thickBot="1">
      <c r="A61" s="6" t="s">
        <v>17</v>
      </c>
      <c r="B61" s="7" t="s">
        <v>18</v>
      </c>
      <c r="C61" s="83">
        <f t="shared" ref="C61:E61" si="50">SUM(C57:C60)</f>
        <v>-263538</v>
      </c>
      <c r="D61" s="83">
        <f t="shared" si="50"/>
        <v>-266527</v>
      </c>
      <c r="E61" s="83">
        <f t="shared" si="50"/>
        <v>-267025</v>
      </c>
      <c r="F61" s="83">
        <f>SUM(F57:F60)</f>
        <v>-245824.99999999997</v>
      </c>
      <c r="G61" s="83"/>
      <c r="H61" s="83"/>
      <c r="I61" s="83"/>
      <c r="J61" s="83"/>
      <c r="K61" s="83"/>
      <c r="L61" s="83"/>
    </row>
    <row r="62" spans="1:12">
      <c r="A62" s="6" t="s">
        <v>19</v>
      </c>
      <c r="B62" s="7" t="s">
        <v>20</v>
      </c>
      <c r="C62" s="77">
        <f>L45+C61</f>
        <v>1335849</v>
      </c>
      <c r="D62" s="77">
        <f>C62+D61</f>
        <v>1069322</v>
      </c>
      <c r="E62" s="77">
        <f>D62+E61</f>
        <v>802297</v>
      </c>
      <c r="F62" s="77">
        <f>E62+F61</f>
        <v>556472</v>
      </c>
      <c r="G62" s="94"/>
      <c r="H62" s="94"/>
      <c r="I62" s="94"/>
      <c r="J62" s="77"/>
      <c r="K62" s="77"/>
      <c r="L62" s="77"/>
    </row>
    <row r="63" spans="1:12">
      <c r="A63" s="6" t="s">
        <v>21</v>
      </c>
      <c r="B63" s="18" t="s">
        <v>22</v>
      </c>
      <c r="C63" s="19">
        <f>L46+C56</f>
        <v>130</v>
      </c>
      <c r="D63" s="19">
        <f>C63+D56</f>
        <v>125</v>
      </c>
      <c r="E63" s="19">
        <f>D63+E56</f>
        <v>120</v>
      </c>
      <c r="F63" s="17">
        <f t="shared" ref="F63" si="51">F56</f>
        <v>120</v>
      </c>
      <c r="G63" s="26"/>
      <c r="H63" s="26"/>
      <c r="I63" s="26"/>
      <c r="J63" s="19"/>
      <c r="K63" s="19"/>
      <c r="L63" s="17"/>
    </row>
    <row r="64" spans="1:12">
      <c r="A64" s="6" t="s">
        <v>23</v>
      </c>
      <c r="B64" s="7" t="s">
        <v>24</v>
      </c>
      <c r="C64" s="34">
        <f>C62/C63/1000</f>
        <v>10.275761538461538</v>
      </c>
      <c r="D64" s="34">
        <f t="shared" ref="D64:F64" si="52">D62/D63/1000</f>
        <v>8.5545759999999991</v>
      </c>
      <c r="E64" s="34">
        <f t="shared" si="52"/>
        <v>6.6858083333333331</v>
      </c>
      <c r="F64" s="45">
        <f t="shared" si="52"/>
        <v>4.6372666666666662</v>
      </c>
      <c r="G64" s="20"/>
      <c r="H64" s="20"/>
      <c r="I64" s="20"/>
      <c r="J64" s="34"/>
      <c r="K64" s="34"/>
      <c r="L64" s="45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22"/>
      <c r="D66" s="11"/>
      <c r="E66" s="6"/>
      <c r="F66" s="111">
        <v>2.0499999999999998</v>
      </c>
      <c r="G66" s="6"/>
      <c r="H66" s="6"/>
      <c r="I66" s="6"/>
      <c r="J66" s="6"/>
      <c r="K66" s="6"/>
      <c r="L66" s="111"/>
    </row>
    <row r="67" spans="1:12">
      <c r="A67" s="6" t="s">
        <v>29</v>
      </c>
      <c r="B67" s="7" t="s">
        <v>30</v>
      </c>
      <c r="C67" s="23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31496062992125984" right="0.31496062992125984" top="0.55118110236220474" bottom="0.35433070866141736" header="0.19685039370078741" footer="0.19685039370078741"/>
  <pageSetup paperSize="9" scale="95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33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67"/>
  <sheetViews>
    <sheetView view="pageBreakPreview" topLeftCell="A19" zoomScaleNormal="100" zoomScaleSheetLayoutView="100" workbookViewId="0">
      <selection activeCell="H45" sqref="H45"/>
    </sheetView>
  </sheetViews>
  <sheetFormatPr defaultRowHeight="16.5"/>
  <cols>
    <col min="1" max="1" width="4.5" style="28" customWidth="1"/>
    <col min="2" max="2" width="8" customWidth="1"/>
    <col min="3" max="3" width="12.625" customWidth="1"/>
    <col min="4" max="4" width="12.375" customWidth="1"/>
    <col min="5" max="6" width="12.25" customWidth="1"/>
    <col min="7" max="7" width="12.375" customWidth="1"/>
    <col min="8" max="8" width="12.25" customWidth="1"/>
    <col min="9" max="9" width="12.5" customWidth="1"/>
    <col min="10" max="10" width="12.625" customWidth="1"/>
    <col min="11" max="11" width="12.25" customWidth="1"/>
    <col min="12" max="12" width="12.5" customWidth="1"/>
  </cols>
  <sheetData>
    <row r="1" spans="1:12">
      <c r="A1" s="440" t="s">
        <v>322</v>
      </c>
      <c r="B1" s="441"/>
      <c r="C1" s="1" t="s">
        <v>264</v>
      </c>
      <c r="D1" s="1" t="s">
        <v>314</v>
      </c>
      <c r="E1" s="1" t="s">
        <v>315</v>
      </c>
      <c r="F1" s="1" t="s">
        <v>316</v>
      </c>
      <c r="G1" s="1" t="s">
        <v>323</v>
      </c>
      <c r="H1" s="1" t="s">
        <v>324</v>
      </c>
      <c r="I1" s="1" t="s">
        <v>329</v>
      </c>
      <c r="J1" s="1" t="s">
        <v>289</v>
      </c>
      <c r="K1" s="1" t="s">
        <v>400</v>
      </c>
      <c r="L1" s="1" t="s">
        <v>401</v>
      </c>
    </row>
    <row r="2" spans="1:12">
      <c r="A2" s="3" t="s">
        <v>0</v>
      </c>
      <c r="B2" s="4" t="s">
        <v>1</v>
      </c>
      <c r="C2" s="1" t="s">
        <v>325</v>
      </c>
      <c r="D2" s="1" t="s">
        <v>193</v>
      </c>
      <c r="E2" s="1" t="s">
        <v>193</v>
      </c>
      <c r="F2" s="1" t="s">
        <v>193</v>
      </c>
      <c r="G2" s="1" t="s">
        <v>193</v>
      </c>
      <c r="H2" s="1" t="s">
        <v>193</v>
      </c>
      <c r="I2" s="1" t="s">
        <v>196</v>
      </c>
      <c r="J2" s="1" t="s">
        <v>196</v>
      </c>
      <c r="K2" s="1" t="s">
        <v>196</v>
      </c>
      <c r="L2" s="1" t="s">
        <v>196</v>
      </c>
    </row>
    <row r="3" spans="1:12">
      <c r="A3" s="6" t="s">
        <v>3</v>
      </c>
      <c r="B3" s="7" t="s">
        <v>4</v>
      </c>
      <c r="C3" s="8" t="s">
        <v>326</v>
      </c>
      <c r="D3" s="8" t="s">
        <v>327</v>
      </c>
      <c r="E3" s="8" t="s">
        <v>327</v>
      </c>
      <c r="F3" s="8" t="s">
        <v>327</v>
      </c>
      <c r="G3" s="8" t="s">
        <v>327</v>
      </c>
      <c r="H3" s="8" t="s">
        <v>327</v>
      </c>
      <c r="I3" s="8" t="s">
        <v>328</v>
      </c>
      <c r="J3" s="8" t="s">
        <v>412</v>
      </c>
      <c r="K3" s="8" t="s">
        <v>412</v>
      </c>
      <c r="L3" s="8" t="s">
        <v>412</v>
      </c>
    </row>
    <row r="4" spans="1:12">
      <c r="A4" s="6" t="s">
        <v>5</v>
      </c>
      <c r="B4" s="7" t="s">
        <v>6</v>
      </c>
      <c r="C4" s="29">
        <v>14.74</v>
      </c>
      <c r="D4" s="29">
        <v>14.46</v>
      </c>
      <c r="E4" s="30">
        <v>14.44</v>
      </c>
      <c r="F4" s="21">
        <v>14.42</v>
      </c>
      <c r="G4" s="30">
        <v>14.4</v>
      </c>
      <c r="H4" s="6">
        <v>14.38</v>
      </c>
      <c r="I4" s="6">
        <v>-0.17</v>
      </c>
      <c r="J4" s="6">
        <v>17.809999999999999</v>
      </c>
      <c r="K4" s="6">
        <v>17.82</v>
      </c>
      <c r="L4" s="6">
        <v>17.829999999999998</v>
      </c>
    </row>
    <row r="5" spans="1:12" ht="17.25" thickBot="1">
      <c r="A5" s="72" t="s">
        <v>7</v>
      </c>
      <c r="B5" s="73" t="s">
        <v>8</v>
      </c>
      <c r="C5" s="74">
        <v>70</v>
      </c>
      <c r="D5" s="74">
        <v>215</v>
      </c>
      <c r="E5" s="90">
        <v>10</v>
      </c>
      <c r="F5" s="91">
        <v>10</v>
      </c>
      <c r="G5" s="91">
        <v>20</v>
      </c>
      <c r="H5" s="72">
        <v>10</v>
      </c>
      <c r="I5" s="102">
        <f>H12</f>
        <v>335</v>
      </c>
      <c r="J5" s="72">
        <v>-10</v>
      </c>
      <c r="K5" s="72">
        <v>-26</v>
      </c>
      <c r="L5" s="72">
        <v>-40</v>
      </c>
    </row>
    <row r="6" spans="1:12">
      <c r="A6" s="78" t="s">
        <v>9</v>
      </c>
      <c r="B6" s="79" t="s">
        <v>10</v>
      </c>
      <c r="C6" s="80">
        <f>ROUNDDOWN(+C4*C5*1000,0)</f>
        <v>1031800</v>
      </c>
      <c r="D6" s="80">
        <f t="shared" ref="D6:L6" si="0">ROUNDDOWN(+D4*D5*1000,0)</f>
        <v>3108900</v>
      </c>
      <c r="E6" s="80">
        <f t="shared" si="0"/>
        <v>144400</v>
      </c>
      <c r="F6" s="80">
        <f t="shared" si="0"/>
        <v>144200</v>
      </c>
      <c r="G6" s="80">
        <f t="shared" si="0"/>
        <v>288000</v>
      </c>
      <c r="H6" s="80">
        <f t="shared" si="0"/>
        <v>143800</v>
      </c>
      <c r="I6" s="80">
        <f t="shared" si="0"/>
        <v>-56950</v>
      </c>
      <c r="J6" s="80">
        <f t="shared" si="0"/>
        <v>-178100</v>
      </c>
      <c r="K6" s="80">
        <f t="shared" si="0"/>
        <v>-463320</v>
      </c>
      <c r="L6" s="80">
        <f t="shared" si="0"/>
        <v>-713200</v>
      </c>
    </row>
    <row r="7" spans="1:12">
      <c r="A7" s="32" t="s">
        <v>11</v>
      </c>
      <c r="B7" s="61" t="s">
        <v>12</v>
      </c>
      <c r="C7" s="33">
        <f>ROUNDDOWN(ABS(C6)*0.001425*0.45,0)</f>
        <v>661</v>
      </c>
      <c r="D7" s="33">
        <f t="shared" ref="D7:L7" si="1">ROUNDDOWN(ABS(D6)*0.001425*0.45,0)</f>
        <v>1993</v>
      </c>
      <c r="E7" s="33">
        <f t="shared" si="1"/>
        <v>92</v>
      </c>
      <c r="F7" s="33">
        <f t="shared" si="1"/>
        <v>92</v>
      </c>
      <c r="G7" s="33">
        <f t="shared" si="1"/>
        <v>184</v>
      </c>
      <c r="H7" s="33">
        <f t="shared" si="1"/>
        <v>92</v>
      </c>
      <c r="I7" s="33">
        <v>10</v>
      </c>
      <c r="J7" s="33">
        <f t="shared" si="1"/>
        <v>114</v>
      </c>
      <c r="K7" s="33">
        <f t="shared" si="1"/>
        <v>297</v>
      </c>
      <c r="L7" s="33">
        <f t="shared" si="1"/>
        <v>457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>
        <f>-ROUNDDOWN(J6*1/1000,0)</f>
        <v>178</v>
      </c>
      <c r="K8" s="31">
        <f t="shared" ref="K8:L8" si="2">-ROUNDDOWN(K6*1/1000,0)</f>
        <v>463</v>
      </c>
      <c r="L8" s="31">
        <f t="shared" si="2"/>
        <v>713</v>
      </c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1032461</v>
      </c>
      <c r="D10" s="83">
        <f t="shared" ref="D10:I10" si="3">+D6+D7</f>
        <v>3110893</v>
      </c>
      <c r="E10" s="83">
        <f t="shared" si="3"/>
        <v>144492</v>
      </c>
      <c r="F10" s="83">
        <f t="shared" si="3"/>
        <v>144292</v>
      </c>
      <c r="G10" s="83">
        <f t="shared" si="3"/>
        <v>288184</v>
      </c>
      <c r="H10" s="83">
        <f t="shared" si="3"/>
        <v>143892</v>
      </c>
      <c r="I10" s="83">
        <f t="shared" si="3"/>
        <v>-56940</v>
      </c>
      <c r="J10" s="83">
        <f t="shared" ref="J10:K10" si="4">+J6+J7+J8</f>
        <v>-177808</v>
      </c>
      <c r="K10" s="83">
        <f t="shared" si="4"/>
        <v>-462560</v>
      </c>
      <c r="L10" s="83">
        <f>+L6+L7+L8</f>
        <v>-712030</v>
      </c>
    </row>
    <row r="11" spans="1:12">
      <c r="A11" s="75" t="s">
        <v>19</v>
      </c>
      <c r="B11" s="76" t="s">
        <v>20</v>
      </c>
      <c r="C11" s="77">
        <f>+C10</f>
        <v>1032461</v>
      </c>
      <c r="D11" s="77">
        <f>+C11+D10</f>
        <v>4143354</v>
      </c>
      <c r="E11" s="77">
        <f t="shared" ref="E11:I11" si="5">+D11+E10</f>
        <v>4287846</v>
      </c>
      <c r="F11" s="77">
        <f t="shared" si="5"/>
        <v>4432138</v>
      </c>
      <c r="G11" s="77">
        <f t="shared" si="5"/>
        <v>4720322</v>
      </c>
      <c r="H11" s="77">
        <f t="shared" si="5"/>
        <v>4864214</v>
      </c>
      <c r="I11" s="77">
        <f t="shared" si="5"/>
        <v>4807274</v>
      </c>
      <c r="J11" s="77">
        <f>+I11+J10</f>
        <v>4629466</v>
      </c>
      <c r="K11" s="77">
        <f t="shared" ref="K11" si="6">+J11+K10</f>
        <v>4166906</v>
      </c>
      <c r="L11" s="77">
        <f t="shared" ref="L11" si="7">+K11+L10</f>
        <v>3454876</v>
      </c>
    </row>
    <row r="12" spans="1:12">
      <c r="A12" s="6" t="s">
        <v>21</v>
      </c>
      <c r="B12" s="18" t="s">
        <v>22</v>
      </c>
      <c r="C12" s="19">
        <f>+C5</f>
        <v>70</v>
      </c>
      <c r="D12" s="19">
        <f>+C12+D5</f>
        <v>285</v>
      </c>
      <c r="E12" s="19">
        <f t="shared" ref="E12:H12" si="8">+D12+E5</f>
        <v>295</v>
      </c>
      <c r="F12" s="19">
        <f t="shared" si="8"/>
        <v>305</v>
      </c>
      <c r="G12" s="19">
        <f t="shared" si="8"/>
        <v>325</v>
      </c>
      <c r="H12" s="19">
        <f t="shared" si="8"/>
        <v>335</v>
      </c>
      <c r="I12" s="19">
        <f>I5</f>
        <v>335</v>
      </c>
      <c r="J12" s="19">
        <f>I12+J5</f>
        <v>325</v>
      </c>
      <c r="K12" s="19">
        <f t="shared" ref="K12:L12" si="9">J12+K5</f>
        <v>299</v>
      </c>
      <c r="L12" s="19">
        <f t="shared" si="9"/>
        <v>259</v>
      </c>
    </row>
    <row r="13" spans="1:12" ht="15.6" customHeight="1">
      <c r="A13" s="6" t="s">
        <v>23</v>
      </c>
      <c r="B13" s="7" t="s">
        <v>24</v>
      </c>
      <c r="C13" s="20">
        <f>+C11/C12/1000</f>
        <v>14.749442857142858</v>
      </c>
      <c r="D13" s="20">
        <f t="shared" ref="D13:L13" si="10">+D11/D12/1000</f>
        <v>14.538084210526316</v>
      </c>
      <c r="E13" s="20">
        <f t="shared" si="10"/>
        <v>14.535071186440678</v>
      </c>
      <c r="F13" s="20">
        <f t="shared" si="10"/>
        <v>14.531600000000001</v>
      </c>
      <c r="G13" s="20">
        <f t="shared" si="10"/>
        <v>14.524067692307693</v>
      </c>
      <c r="H13" s="20">
        <f t="shared" si="10"/>
        <v>14.520041791044775</v>
      </c>
      <c r="I13" s="20">
        <f t="shared" si="10"/>
        <v>14.350071641791045</v>
      </c>
      <c r="J13" s="20">
        <f t="shared" si="10"/>
        <v>14.244510769230768</v>
      </c>
      <c r="K13" s="20">
        <f t="shared" si="10"/>
        <v>13.936140468227425</v>
      </c>
      <c r="L13" s="20">
        <f t="shared" si="10"/>
        <v>13.339289575289575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 t="s">
        <v>330</v>
      </c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322</v>
      </c>
      <c r="B18" s="441"/>
      <c r="C18" s="1" t="s">
        <v>401</v>
      </c>
      <c r="D18" s="1" t="s">
        <v>402</v>
      </c>
      <c r="E18" s="1" t="s">
        <v>403</v>
      </c>
      <c r="F18" s="1" t="s">
        <v>404</v>
      </c>
      <c r="G18" s="1" t="s">
        <v>405</v>
      </c>
      <c r="H18" s="1" t="s">
        <v>406</v>
      </c>
      <c r="I18" s="1" t="s">
        <v>407</v>
      </c>
      <c r="J18" s="1" t="s">
        <v>408</v>
      </c>
      <c r="K18" s="1" t="s">
        <v>409</v>
      </c>
      <c r="L18" s="1" t="s">
        <v>415</v>
      </c>
    </row>
    <row r="19" spans="1:12">
      <c r="A19" s="3" t="s">
        <v>0</v>
      </c>
      <c r="B19" s="4" t="s">
        <v>1</v>
      </c>
      <c r="C19" s="1" t="s">
        <v>254</v>
      </c>
      <c r="D19" s="1" t="s">
        <v>254</v>
      </c>
      <c r="E19" s="1" t="s">
        <v>254</v>
      </c>
      <c r="F19" s="1" t="s">
        <v>254</v>
      </c>
      <c r="G19" s="1" t="s">
        <v>254</v>
      </c>
      <c r="H19" s="1" t="s">
        <v>254</v>
      </c>
      <c r="I19" s="1" t="s">
        <v>254</v>
      </c>
      <c r="J19" s="1" t="s">
        <v>254</v>
      </c>
      <c r="K19" s="1" t="s">
        <v>254</v>
      </c>
      <c r="L19" s="1" t="s">
        <v>196</v>
      </c>
    </row>
    <row r="20" spans="1:12">
      <c r="A20" s="6" t="s">
        <v>3</v>
      </c>
      <c r="B20" s="7" t="s">
        <v>4</v>
      </c>
      <c r="C20" s="8" t="s">
        <v>412</v>
      </c>
      <c r="D20" s="8" t="s">
        <v>412</v>
      </c>
      <c r="E20" s="8" t="s">
        <v>412</v>
      </c>
      <c r="F20" s="6" t="s">
        <v>70</v>
      </c>
      <c r="G20" s="6" t="s">
        <v>70</v>
      </c>
      <c r="H20" s="6" t="s">
        <v>70</v>
      </c>
      <c r="I20" s="8" t="s">
        <v>411</v>
      </c>
      <c r="J20" s="8" t="s">
        <v>411</v>
      </c>
      <c r="K20" s="8" t="s">
        <v>410</v>
      </c>
      <c r="L20" s="8" t="s">
        <v>414</v>
      </c>
    </row>
    <row r="21" spans="1:12">
      <c r="A21" s="6" t="s">
        <v>5</v>
      </c>
      <c r="B21" s="7" t="s">
        <v>6</v>
      </c>
      <c r="C21" s="46">
        <v>17.829999999999998</v>
      </c>
      <c r="D21" s="11">
        <v>17.84</v>
      </c>
      <c r="E21" s="6">
        <v>17.850000000000001</v>
      </c>
      <c r="F21" s="105">
        <v>18.05</v>
      </c>
      <c r="G21" s="6">
        <v>18.100000000000001</v>
      </c>
      <c r="H21" s="6">
        <v>18.11</v>
      </c>
      <c r="I21" s="6">
        <v>18.27</v>
      </c>
      <c r="J21" s="6">
        <v>18.28</v>
      </c>
      <c r="K21" s="6">
        <v>18.38</v>
      </c>
      <c r="L21" s="6">
        <v>18.440000000000001</v>
      </c>
    </row>
    <row r="22" spans="1:12" ht="17.25" thickBot="1">
      <c r="A22" s="72" t="s">
        <v>7</v>
      </c>
      <c r="B22" s="73" t="s">
        <v>8</v>
      </c>
      <c r="C22" s="93">
        <v>-40</v>
      </c>
      <c r="D22" s="91">
        <v>-4</v>
      </c>
      <c r="E22" s="72">
        <v>-3</v>
      </c>
      <c r="F22" s="74">
        <v>-2</v>
      </c>
      <c r="G22" s="72">
        <v>-1</v>
      </c>
      <c r="H22" s="72">
        <v>-2</v>
      </c>
      <c r="I22" s="72">
        <v>-1</v>
      </c>
      <c r="J22" s="72">
        <v>-1</v>
      </c>
      <c r="K22" s="72">
        <v>-5</v>
      </c>
      <c r="L22" s="72">
        <v>-1</v>
      </c>
    </row>
    <row r="23" spans="1:12">
      <c r="A23" s="78" t="s">
        <v>9</v>
      </c>
      <c r="B23" s="79" t="s">
        <v>10</v>
      </c>
      <c r="C23" s="80">
        <v>-713199.99999999988</v>
      </c>
      <c r="D23" s="80">
        <f>ROUNDDOWN(+D21*D22*1000,0)</f>
        <v>-71360</v>
      </c>
      <c r="E23" s="80">
        <f t="shared" ref="E23:L23" si="11">ROUNDDOWN(+E21*E22*1000,0)</f>
        <v>-53550</v>
      </c>
      <c r="F23" s="80">
        <f t="shared" si="11"/>
        <v>-36100</v>
      </c>
      <c r="G23" s="80">
        <f t="shared" si="11"/>
        <v>-18100</v>
      </c>
      <c r="H23" s="80">
        <f t="shared" si="11"/>
        <v>-36220</v>
      </c>
      <c r="I23" s="80">
        <f t="shared" si="11"/>
        <v>-18270</v>
      </c>
      <c r="J23" s="80">
        <f t="shared" si="11"/>
        <v>-18280</v>
      </c>
      <c r="K23" s="80">
        <f t="shared" si="11"/>
        <v>-91900</v>
      </c>
      <c r="L23" s="80">
        <f t="shared" si="11"/>
        <v>-18440</v>
      </c>
    </row>
    <row r="24" spans="1:12">
      <c r="A24" s="32" t="s">
        <v>11</v>
      </c>
      <c r="B24" s="61" t="s">
        <v>12</v>
      </c>
      <c r="C24" s="33">
        <v>457</v>
      </c>
      <c r="D24" s="31">
        <f>ROUNDDOWN(ABS(D23)*0.001425*0.45,0)</f>
        <v>45</v>
      </c>
      <c r="E24" s="31">
        <f t="shared" ref="E24:L24" si="12">ROUNDDOWN(ABS(E23)*0.001425*0.45,0)</f>
        <v>34</v>
      </c>
      <c r="F24" s="31">
        <f t="shared" si="12"/>
        <v>23</v>
      </c>
      <c r="G24" s="333">
        <f t="shared" si="12"/>
        <v>11</v>
      </c>
      <c r="H24" s="31">
        <f t="shared" si="12"/>
        <v>23</v>
      </c>
      <c r="I24" s="333">
        <f t="shared" si="12"/>
        <v>11</v>
      </c>
      <c r="J24" s="333">
        <f t="shared" si="12"/>
        <v>11</v>
      </c>
      <c r="K24" s="31">
        <f t="shared" si="12"/>
        <v>58</v>
      </c>
      <c r="L24" s="333">
        <f t="shared" si="12"/>
        <v>11</v>
      </c>
    </row>
    <row r="25" spans="1:12">
      <c r="A25" s="32" t="s">
        <v>13</v>
      </c>
      <c r="B25" s="61" t="s">
        <v>14</v>
      </c>
      <c r="C25" s="33">
        <v>713</v>
      </c>
      <c r="D25" s="31">
        <f>ROUNDDOWN(ABS(D23)*1/1000,0)</f>
        <v>71</v>
      </c>
      <c r="E25" s="31">
        <f t="shared" ref="E25:L25" si="13">ROUNDDOWN(ABS(E23)*1/1000,0)</f>
        <v>53</v>
      </c>
      <c r="F25" s="31">
        <f t="shared" si="13"/>
        <v>36</v>
      </c>
      <c r="G25" s="31">
        <f t="shared" si="13"/>
        <v>18</v>
      </c>
      <c r="H25" s="31">
        <f t="shared" si="13"/>
        <v>36</v>
      </c>
      <c r="I25" s="31">
        <f t="shared" si="13"/>
        <v>18</v>
      </c>
      <c r="J25" s="31">
        <f t="shared" si="13"/>
        <v>18</v>
      </c>
      <c r="K25" s="31">
        <f t="shared" si="13"/>
        <v>91</v>
      </c>
      <c r="L25" s="31">
        <f t="shared" si="13"/>
        <v>18</v>
      </c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v>-712189.89604999986</v>
      </c>
      <c r="D27" s="83">
        <f t="shared" ref="D27:H27" si="14">+D23+D24+D25</f>
        <v>-71244</v>
      </c>
      <c r="E27" s="83">
        <f t="shared" si="14"/>
        <v>-53463</v>
      </c>
      <c r="F27" s="83">
        <f t="shared" si="14"/>
        <v>-36041</v>
      </c>
      <c r="G27" s="83">
        <f t="shared" si="14"/>
        <v>-18071</v>
      </c>
      <c r="H27" s="83">
        <f t="shared" si="14"/>
        <v>-36161</v>
      </c>
      <c r="I27" s="83">
        <f t="shared" ref="I27:K27" si="15">+I23+I24+I25</f>
        <v>-18241</v>
      </c>
      <c r="J27" s="83">
        <f t="shared" si="15"/>
        <v>-18251</v>
      </c>
      <c r="K27" s="83">
        <f t="shared" si="15"/>
        <v>-91751</v>
      </c>
      <c r="L27" s="83">
        <f t="shared" ref="L27" si="16">+L23+L24+L25</f>
        <v>-18411</v>
      </c>
    </row>
    <row r="28" spans="1:12">
      <c r="A28" s="75" t="s">
        <v>19</v>
      </c>
      <c r="B28" s="76" t="s">
        <v>20</v>
      </c>
      <c r="C28" s="77">
        <v>3454876</v>
      </c>
      <c r="D28" s="94">
        <f t="shared" ref="D28:E28" si="17">+C28+D27</f>
        <v>3383632</v>
      </c>
      <c r="E28" s="94">
        <f t="shared" si="17"/>
        <v>3330169</v>
      </c>
      <c r="F28" s="94">
        <f t="shared" ref="F28" si="18">+E28+F27</f>
        <v>3294128</v>
      </c>
      <c r="G28" s="94">
        <f t="shared" ref="G28" si="19">+F28+G27</f>
        <v>3276057</v>
      </c>
      <c r="H28" s="94">
        <f t="shared" ref="H28" si="20">+G28+H27</f>
        <v>3239896</v>
      </c>
      <c r="I28" s="94">
        <f t="shared" ref="I28" si="21">+H28+I27</f>
        <v>3221655</v>
      </c>
      <c r="J28" s="94">
        <f t="shared" ref="J28" si="22">+I28+J27</f>
        <v>3203404</v>
      </c>
      <c r="K28" s="94">
        <f t="shared" ref="K28:L28" si="23">+J28+K27</f>
        <v>3111653</v>
      </c>
      <c r="L28" s="94">
        <f t="shared" si="23"/>
        <v>3093242</v>
      </c>
    </row>
    <row r="29" spans="1:12">
      <c r="A29" s="6" t="s">
        <v>21</v>
      </c>
      <c r="B29" s="18" t="s">
        <v>22</v>
      </c>
      <c r="C29" s="95">
        <v>259</v>
      </c>
      <c r="D29" s="95">
        <f t="shared" ref="D29:E29" si="24">C29+D22</f>
        <v>255</v>
      </c>
      <c r="E29" s="95">
        <f t="shared" si="24"/>
        <v>252</v>
      </c>
      <c r="F29" s="95">
        <f t="shared" ref="F29" si="25">E29+F22</f>
        <v>250</v>
      </c>
      <c r="G29" s="95">
        <f t="shared" ref="G29" si="26">F29+G22</f>
        <v>249</v>
      </c>
      <c r="H29" s="95">
        <f t="shared" ref="H29" si="27">G29+H22</f>
        <v>247</v>
      </c>
      <c r="I29" s="95">
        <f t="shared" ref="I29" si="28">H29+I22</f>
        <v>246</v>
      </c>
      <c r="J29" s="95">
        <f t="shared" ref="J29" si="29">I29+J22</f>
        <v>245</v>
      </c>
      <c r="K29" s="95">
        <f t="shared" ref="K29:L29" si="30">J29+K22</f>
        <v>240</v>
      </c>
      <c r="L29" s="95">
        <f t="shared" si="30"/>
        <v>239</v>
      </c>
    </row>
    <row r="30" spans="1:12">
      <c r="A30" s="6" t="s">
        <v>23</v>
      </c>
      <c r="B30" s="7" t="s">
        <v>24</v>
      </c>
      <c r="C30" s="44">
        <v>13.338506083832044</v>
      </c>
      <c r="D30" s="44">
        <f t="shared" ref="D30" si="31">+D28/D29/1000</f>
        <v>13.269145098039216</v>
      </c>
      <c r="E30" s="44">
        <f>+E28/E29/1000</f>
        <v>13.21495634920635</v>
      </c>
      <c r="F30" s="44">
        <f t="shared" ref="F30:H30" si="32">+F28/F29/1000</f>
        <v>13.176512000000001</v>
      </c>
      <c r="G30" s="44">
        <f t="shared" si="32"/>
        <v>13.156855421686746</v>
      </c>
      <c r="H30" s="44">
        <f t="shared" si="32"/>
        <v>13.116987854251013</v>
      </c>
      <c r="I30" s="44">
        <f t="shared" ref="I30" si="33">+I28/I29/1000</f>
        <v>13.096158536585365</v>
      </c>
      <c r="J30" s="44">
        <f t="shared" ref="J30" si="34">+J28/J29/1000</f>
        <v>13.075118367346938</v>
      </c>
      <c r="K30" s="44">
        <f t="shared" ref="K30:L30" si="35">+K28/K29/1000</f>
        <v>12.965220833333333</v>
      </c>
      <c r="L30" s="44">
        <f t="shared" si="35"/>
        <v>12.942435146443515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38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40" t="s">
        <v>322</v>
      </c>
      <c r="B35" s="441"/>
      <c r="C35" s="1" t="s">
        <v>415</v>
      </c>
      <c r="D35" s="1" t="s">
        <v>416</v>
      </c>
      <c r="E35" s="1" t="s">
        <v>417</v>
      </c>
      <c r="F35" s="1" t="s">
        <v>418</v>
      </c>
      <c r="G35" s="1" t="s">
        <v>419</v>
      </c>
      <c r="H35" s="1" t="s">
        <v>643</v>
      </c>
      <c r="I35" s="1" t="s">
        <v>646</v>
      </c>
      <c r="J35" s="1" t="s">
        <v>647</v>
      </c>
      <c r="K35" s="1"/>
      <c r="L35" s="1"/>
    </row>
    <row r="36" spans="1:12">
      <c r="A36" s="3" t="s">
        <v>0</v>
      </c>
      <c r="B36" s="4" t="s">
        <v>1</v>
      </c>
      <c r="C36" s="1" t="s">
        <v>196</v>
      </c>
      <c r="D36" s="1" t="s">
        <v>196</v>
      </c>
      <c r="E36" s="1" t="s">
        <v>196</v>
      </c>
      <c r="F36" s="1" t="s">
        <v>196</v>
      </c>
      <c r="G36" s="1" t="s">
        <v>196</v>
      </c>
      <c r="H36" s="1" t="s">
        <v>644</v>
      </c>
      <c r="I36" s="1" t="s">
        <v>521</v>
      </c>
      <c r="J36" s="1" t="s">
        <v>521</v>
      </c>
      <c r="K36" s="1"/>
      <c r="L36" s="1"/>
    </row>
    <row r="37" spans="1:12">
      <c r="A37" s="6" t="s">
        <v>3</v>
      </c>
      <c r="B37" s="7" t="s">
        <v>4</v>
      </c>
      <c r="C37" s="8" t="s">
        <v>413</v>
      </c>
      <c r="D37" s="8" t="s">
        <v>413</v>
      </c>
      <c r="E37" s="8" t="s">
        <v>413</v>
      </c>
      <c r="F37" s="8" t="s">
        <v>413</v>
      </c>
      <c r="G37" s="8" t="s">
        <v>413</v>
      </c>
      <c r="H37" s="8" t="s">
        <v>645</v>
      </c>
      <c r="I37" s="8" t="s">
        <v>648</v>
      </c>
      <c r="J37" s="8" t="s">
        <v>648</v>
      </c>
      <c r="K37" s="8"/>
      <c r="L37" s="8"/>
    </row>
    <row r="38" spans="1:12">
      <c r="A38" s="6" t="s">
        <v>5</v>
      </c>
      <c r="B38" s="7" t="s">
        <v>6</v>
      </c>
      <c r="C38" s="29">
        <v>18.440000000000001</v>
      </c>
      <c r="D38" s="29">
        <v>18.45</v>
      </c>
      <c r="E38" s="29">
        <v>18.46</v>
      </c>
      <c r="F38" s="29">
        <v>18.489999999999998</v>
      </c>
      <c r="G38" s="29">
        <v>18.5</v>
      </c>
      <c r="H38" s="6">
        <v>-0.22</v>
      </c>
      <c r="I38" s="29">
        <v>23.2</v>
      </c>
      <c r="J38" s="29">
        <v>23.18</v>
      </c>
      <c r="K38" s="6"/>
      <c r="L38" s="6"/>
    </row>
    <row r="39" spans="1:12" ht="17.25" thickBot="1">
      <c r="A39" s="72" t="s">
        <v>7</v>
      </c>
      <c r="B39" s="73" t="s">
        <v>8</v>
      </c>
      <c r="C39" s="74">
        <v>-1</v>
      </c>
      <c r="D39" s="74">
        <v>-2</v>
      </c>
      <c r="E39" s="90">
        <v>-3</v>
      </c>
      <c r="F39" s="91">
        <v>-2</v>
      </c>
      <c r="G39" s="91">
        <v>-2</v>
      </c>
      <c r="H39" s="102">
        <f>G46</f>
        <v>230</v>
      </c>
      <c r="I39" s="91">
        <v>-40</v>
      </c>
      <c r="J39" s="91">
        <v>-190</v>
      </c>
      <c r="K39" s="72"/>
      <c r="L39" s="72"/>
    </row>
    <row r="40" spans="1:12">
      <c r="A40" s="78" t="s">
        <v>9</v>
      </c>
      <c r="B40" s="79" t="s">
        <v>10</v>
      </c>
      <c r="C40" s="80">
        <v>-18440</v>
      </c>
      <c r="D40" s="80">
        <f>ROUNDDOWN(+D38*D39*1000,0)</f>
        <v>-36900</v>
      </c>
      <c r="E40" s="80">
        <f t="shared" ref="E40:J40" si="36">ROUNDDOWN(+E38*E39*1000,0)</f>
        <v>-55380</v>
      </c>
      <c r="F40" s="80">
        <f t="shared" si="36"/>
        <v>-36980</v>
      </c>
      <c r="G40" s="80">
        <f t="shared" si="36"/>
        <v>-37000</v>
      </c>
      <c r="H40" s="80">
        <f t="shared" si="36"/>
        <v>-50600</v>
      </c>
      <c r="I40" s="80">
        <f t="shared" si="36"/>
        <v>-928000</v>
      </c>
      <c r="J40" s="80">
        <f t="shared" si="36"/>
        <v>-4404200</v>
      </c>
      <c r="K40" s="80"/>
      <c r="L40" s="80"/>
    </row>
    <row r="41" spans="1:12">
      <c r="A41" s="32" t="s">
        <v>11</v>
      </c>
      <c r="B41" s="61" t="s">
        <v>12</v>
      </c>
      <c r="C41" s="33">
        <v>11.82465</v>
      </c>
      <c r="D41" s="31">
        <f>ROUNDDOWN(ABS(D40)*0.001425*0.45,0)</f>
        <v>23</v>
      </c>
      <c r="E41" s="31">
        <f t="shared" ref="E41:J41" si="37">ROUNDDOWN(ABS(E40)*0.001425*0.45,0)</f>
        <v>35</v>
      </c>
      <c r="F41" s="31">
        <f t="shared" si="37"/>
        <v>23</v>
      </c>
      <c r="G41" s="31">
        <f t="shared" si="37"/>
        <v>23</v>
      </c>
      <c r="H41" s="31">
        <v>10</v>
      </c>
      <c r="I41" s="31">
        <f t="shared" si="37"/>
        <v>595</v>
      </c>
      <c r="J41" s="31">
        <f t="shared" si="37"/>
        <v>2824</v>
      </c>
      <c r="K41" s="33"/>
      <c r="L41" s="33"/>
    </row>
    <row r="42" spans="1:12">
      <c r="A42" s="32" t="s">
        <v>13</v>
      </c>
      <c r="B42" s="61" t="s">
        <v>14</v>
      </c>
      <c r="C42" s="33">
        <v>18</v>
      </c>
      <c r="D42" s="31">
        <f>ROUNDDOWN(ABS(D40)*1/1000,0)</f>
        <v>36</v>
      </c>
      <c r="E42" s="31">
        <f t="shared" ref="E42:J42" si="38">ROUNDDOWN(ABS(E40)*1/1000,0)</f>
        <v>55</v>
      </c>
      <c r="F42" s="31">
        <f t="shared" si="38"/>
        <v>36</v>
      </c>
      <c r="G42" s="31">
        <f t="shared" si="38"/>
        <v>37</v>
      </c>
      <c r="H42" s="31"/>
      <c r="I42" s="31">
        <f t="shared" si="38"/>
        <v>928</v>
      </c>
      <c r="J42" s="31">
        <f t="shared" si="38"/>
        <v>4404</v>
      </c>
      <c r="K42" s="31"/>
      <c r="L42" s="31"/>
    </row>
    <row r="43" spans="1:12">
      <c r="A43" s="32" t="s">
        <v>15</v>
      </c>
      <c r="B43" s="62" t="s">
        <v>16</v>
      </c>
      <c r="C43" s="33"/>
      <c r="D43" s="31"/>
      <c r="E43" s="31"/>
      <c r="F43" s="31"/>
      <c r="G43" s="31"/>
      <c r="H43" s="33"/>
      <c r="I43" s="31"/>
      <c r="J43" s="31"/>
      <c r="K43" s="31"/>
      <c r="L43" s="31"/>
    </row>
    <row r="44" spans="1:12" ht="17.25" thickBot="1">
      <c r="A44" s="81" t="s">
        <v>17</v>
      </c>
      <c r="B44" s="82" t="s">
        <v>18</v>
      </c>
      <c r="C44" s="83">
        <v>-18410.175350000001</v>
      </c>
      <c r="D44" s="83">
        <f t="shared" ref="D44:G44" si="39">+D40+D41+D42</f>
        <v>-36841</v>
      </c>
      <c r="E44" s="83">
        <f t="shared" si="39"/>
        <v>-55290</v>
      </c>
      <c r="F44" s="83">
        <f t="shared" si="39"/>
        <v>-36921</v>
      </c>
      <c r="G44" s="83">
        <f t="shared" si="39"/>
        <v>-36940</v>
      </c>
      <c r="H44" s="83">
        <f t="shared" ref="H44" si="40">+H40+H41</f>
        <v>-50590</v>
      </c>
      <c r="I44" s="83">
        <f t="shared" ref="I44:J44" si="41">+I40+I41+I42</f>
        <v>-926477</v>
      </c>
      <c r="J44" s="83">
        <f t="shared" si="41"/>
        <v>-4396972</v>
      </c>
      <c r="K44" s="83"/>
      <c r="L44" s="83"/>
    </row>
    <row r="45" spans="1:12">
      <c r="A45" s="75" t="s">
        <v>19</v>
      </c>
      <c r="B45" s="76" t="s">
        <v>20</v>
      </c>
      <c r="C45" s="77">
        <v>3093242</v>
      </c>
      <c r="D45" s="94">
        <f t="shared" ref="D45" si="42">+C45+D44</f>
        <v>3056401</v>
      </c>
      <c r="E45" s="94">
        <f t="shared" ref="E45" si="43">+D45+E44</f>
        <v>3001111</v>
      </c>
      <c r="F45" s="94">
        <f t="shared" ref="F45" si="44">+E45+F44</f>
        <v>2964190</v>
      </c>
      <c r="G45" s="94">
        <f t="shared" ref="G45:H45" si="45">+F45+G44</f>
        <v>2927250</v>
      </c>
      <c r="H45" s="77">
        <f t="shared" si="45"/>
        <v>2876660</v>
      </c>
      <c r="I45" s="94">
        <f t="shared" ref="I45" si="46">+H45+I44</f>
        <v>1950183</v>
      </c>
      <c r="J45" s="94">
        <f t="shared" ref="J45" si="47">+I45+J44</f>
        <v>-2446789</v>
      </c>
      <c r="K45" s="77"/>
      <c r="L45" s="77"/>
    </row>
    <row r="46" spans="1:12">
      <c r="A46" s="6" t="s">
        <v>21</v>
      </c>
      <c r="B46" s="18" t="s">
        <v>22</v>
      </c>
      <c r="C46" s="19">
        <v>239</v>
      </c>
      <c r="D46" s="19">
        <f>C46+D39</f>
        <v>237</v>
      </c>
      <c r="E46" s="19">
        <f t="shared" ref="E46:G46" si="48">D46+E39</f>
        <v>234</v>
      </c>
      <c r="F46" s="19">
        <f t="shared" si="48"/>
        <v>232</v>
      </c>
      <c r="G46" s="19">
        <f t="shared" si="48"/>
        <v>230</v>
      </c>
      <c r="H46" s="19">
        <f>H39</f>
        <v>230</v>
      </c>
      <c r="I46" s="19">
        <f t="shared" ref="I46" si="49">H46+I39</f>
        <v>190</v>
      </c>
      <c r="J46" s="19">
        <v>0</v>
      </c>
      <c r="K46" s="19"/>
      <c r="L46" s="19"/>
    </row>
    <row r="47" spans="1:12" ht="15.6" customHeight="1">
      <c r="A47" s="6" t="s">
        <v>23</v>
      </c>
      <c r="B47" s="7" t="s">
        <v>24</v>
      </c>
      <c r="C47" s="20">
        <v>12.941608156014642</v>
      </c>
      <c r="D47" s="44">
        <f t="shared" ref="D47" si="50">+D45/D46/1000</f>
        <v>12.896206751054853</v>
      </c>
      <c r="E47" s="44">
        <f t="shared" ref="E47" si="51">+E45/E46/1000</f>
        <v>12.825260683760684</v>
      </c>
      <c r="F47" s="44">
        <f t="shared" ref="F47" si="52">+F45/F46/1000</f>
        <v>12.77668103448276</v>
      </c>
      <c r="G47" s="44">
        <f t="shared" ref="G47:H47" si="53">+G45/G46/1000</f>
        <v>12.727173913043478</v>
      </c>
      <c r="H47" s="20">
        <f t="shared" si="53"/>
        <v>12.507217391304348</v>
      </c>
      <c r="I47" s="44">
        <f t="shared" ref="I47" si="54">+I45/I46/1000</f>
        <v>10.264121052631578</v>
      </c>
      <c r="J47" s="44"/>
      <c r="K47" s="20"/>
      <c r="L47" s="20"/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104"/>
      <c r="I48" s="104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21"/>
      <c r="F49" s="21"/>
      <c r="G49" s="11"/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6"/>
      <c r="K50" s="6"/>
      <c r="L50" s="23"/>
    </row>
    <row r="51" spans="1:12" ht="9.75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40" t="s">
        <v>322</v>
      </c>
      <c r="B52" s="44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6" t="s">
        <v>3</v>
      </c>
      <c r="B54" s="7" t="s">
        <v>4</v>
      </c>
      <c r="C54" s="8"/>
      <c r="D54" s="8"/>
      <c r="E54" s="8"/>
      <c r="F54" s="6"/>
      <c r="G54" s="6"/>
      <c r="H54" s="6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46"/>
      <c r="D55" s="11"/>
      <c r="E55" s="6"/>
      <c r="F55" s="105"/>
      <c r="G55" s="6"/>
      <c r="H55" s="6"/>
      <c r="I55" s="6"/>
      <c r="J55" s="6"/>
      <c r="K55" s="6"/>
      <c r="L55" s="6"/>
    </row>
    <row r="56" spans="1:12" ht="17.25" thickBot="1">
      <c r="A56" s="72" t="s">
        <v>7</v>
      </c>
      <c r="B56" s="73" t="s">
        <v>8</v>
      </c>
      <c r="C56" s="93"/>
      <c r="D56" s="91"/>
      <c r="E56" s="72"/>
      <c r="F56" s="74"/>
      <c r="G56" s="72"/>
      <c r="H56" s="72"/>
      <c r="I56" s="72"/>
      <c r="J56" s="72"/>
      <c r="K56" s="72"/>
      <c r="L56" s="72"/>
    </row>
    <row r="57" spans="1:12">
      <c r="A57" s="78" t="s">
        <v>9</v>
      </c>
      <c r="B57" s="79" t="s">
        <v>10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1:12">
      <c r="A58" s="32" t="s">
        <v>11</v>
      </c>
      <c r="B58" s="61" t="s">
        <v>12</v>
      </c>
      <c r="C58" s="33"/>
      <c r="D58" s="31"/>
      <c r="E58" s="31"/>
      <c r="F58" s="31"/>
      <c r="G58" s="31"/>
      <c r="H58" s="31"/>
      <c r="I58" s="31"/>
      <c r="J58" s="31"/>
      <c r="K58" s="31"/>
      <c r="L58" s="31"/>
    </row>
    <row r="59" spans="1:12">
      <c r="A59" s="32" t="s">
        <v>13</v>
      </c>
      <c r="B59" s="61" t="s">
        <v>14</v>
      </c>
      <c r="C59" s="33"/>
      <c r="D59" s="31"/>
      <c r="E59" s="31"/>
      <c r="F59" s="31"/>
      <c r="G59" s="31"/>
      <c r="H59" s="31"/>
      <c r="I59" s="31"/>
      <c r="J59" s="31"/>
      <c r="K59" s="31"/>
      <c r="L59" s="31"/>
    </row>
    <row r="60" spans="1:12">
      <c r="A60" s="32" t="s">
        <v>15</v>
      </c>
      <c r="B60" s="62" t="s">
        <v>16</v>
      </c>
      <c r="C60" s="33"/>
      <c r="D60" s="31"/>
      <c r="E60" s="31"/>
      <c r="F60" s="31"/>
      <c r="G60" s="31"/>
      <c r="H60" s="31"/>
      <c r="I60" s="31"/>
      <c r="J60" s="31"/>
      <c r="K60" s="31"/>
      <c r="L60" s="31"/>
    </row>
    <row r="61" spans="1:12" ht="17.25" thickBot="1">
      <c r="A61" s="81" t="s">
        <v>17</v>
      </c>
      <c r="B61" s="82" t="s">
        <v>18</v>
      </c>
      <c r="C61" s="83"/>
      <c r="D61" s="83"/>
      <c r="E61" s="83"/>
      <c r="F61" s="83"/>
      <c r="G61" s="83"/>
      <c r="H61" s="83"/>
      <c r="I61" s="83"/>
      <c r="J61" s="83"/>
      <c r="K61" s="83"/>
      <c r="L61" s="83"/>
    </row>
    <row r="62" spans="1:12">
      <c r="A62" s="75" t="s">
        <v>19</v>
      </c>
      <c r="B62" s="76" t="s">
        <v>20</v>
      </c>
      <c r="C62" s="77"/>
      <c r="D62" s="94"/>
      <c r="E62" s="94"/>
      <c r="F62" s="94"/>
      <c r="G62" s="94"/>
      <c r="H62" s="94"/>
      <c r="I62" s="94"/>
      <c r="J62" s="94"/>
      <c r="K62" s="94"/>
      <c r="L62" s="94"/>
    </row>
    <row r="63" spans="1:12">
      <c r="A63" s="6" t="s">
        <v>21</v>
      </c>
      <c r="B63" s="18" t="s">
        <v>22</v>
      </c>
      <c r="C63" s="95"/>
      <c r="D63" s="95"/>
      <c r="E63" s="95"/>
      <c r="F63" s="95"/>
      <c r="G63" s="95"/>
      <c r="H63" s="95"/>
      <c r="I63" s="95"/>
      <c r="J63" s="95"/>
      <c r="K63" s="95"/>
      <c r="L63" s="95"/>
    </row>
    <row r="64" spans="1:12">
      <c r="A64" s="6" t="s">
        <v>23</v>
      </c>
      <c r="B64" s="7" t="s">
        <v>24</v>
      </c>
      <c r="C64" s="44"/>
      <c r="D64" s="44"/>
      <c r="E64" s="44"/>
      <c r="F64" s="44"/>
      <c r="G64" s="44"/>
      <c r="H64" s="44"/>
      <c r="I64" s="44"/>
      <c r="J64" s="44"/>
      <c r="K64" s="44"/>
      <c r="L64" s="44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46"/>
      <c r="D66" s="11"/>
      <c r="E66" s="6"/>
      <c r="F66" s="38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19685039370078741" footer="0.19685039370078741"/>
  <pageSetup paperSize="9" scale="96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34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67"/>
  <sheetViews>
    <sheetView view="pageBreakPreview" topLeftCell="A40" zoomScaleNormal="88" zoomScaleSheetLayoutView="100" workbookViewId="0">
      <selection activeCell="C59" sqref="C59:I59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2" t="s">
        <v>313</v>
      </c>
      <c r="B1" s="443"/>
      <c r="C1" s="1" t="s">
        <v>41</v>
      </c>
      <c r="D1" s="1" t="s">
        <v>150</v>
      </c>
      <c r="E1" s="1" t="s">
        <v>151</v>
      </c>
      <c r="F1" s="1" t="s">
        <v>314</v>
      </c>
      <c r="G1" s="1" t="s">
        <v>315</v>
      </c>
      <c r="H1" s="1" t="s">
        <v>316</v>
      </c>
      <c r="I1" s="1" t="s">
        <v>317</v>
      </c>
      <c r="J1" s="1" t="s">
        <v>318</v>
      </c>
      <c r="K1" s="1" t="s">
        <v>433</v>
      </c>
      <c r="L1" s="1" t="s">
        <v>436</v>
      </c>
    </row>
    <row r="2" spans="1:12">
      <c r="A2" s="3" t="s">
        <v>0</v>
      </c>
      <c r="B2" s="4" t="s">
        <v>1</v>
      </c>
      <c r="C2" s="1" t="s">
        <v>192</v>
      </c>
      <c r="D2" s="1" t="s">
        <v>192</v>
      </c>
      <c r="E2" s="1" t="s">
        <v>192</v>
      </c>
      <c r="F2" s="1" t="s">
        <v>193</v>
      </c>
      <c r="G2" s="1" t="s">
        <v>193</v>
      </c>
      <c r="H2" s="1" t="s">
        <v>193</v>
      </c>
      <c r="I2" s="1" t="s">
        <v>196</v>
      </c>
      <c r="J2" s="1" t="s">
        <v>196</v>
      </c>
      <c r="K2" s="1" t="s">
        <v>434</v>
      </c>
      <c r="L2" s="1" t="s">
        <v>434</v>
      </c>
    </row>
    <row r="3" spans="1:12">
      <c r="A3" s="6" t="s">
        <v>3</v>
      </c>
      <c r="B3" s="7" t="s">
        <v>4</v>
      </c>
      <c r="C3" s="8">
        <v>45135</v>
      </c>
      <c r="D3" s="8">
        <v>45135</v>
      </c>
      <c r="E3" s="8">
        <v>45135</v>
      </c>
      <c r="F3" s="8">
        <v>45289</v>
      </c>
      <c r="G3" s="8">
        <v>45289</v>
      </c>
      <c r="H3" s="8">
        <v>45289</v>
      </c>
      <c r="I3" s="8">
        <v>44930</v>
      </c>
      <c r="J3" s="8">
        <v>44930</v>
      </c>
      <c r="K3" s="8" t="s">
        <v>435</v>
      </c>
      <c r="L3" s="8" t="s">
        <v>435</v>
      </c>
    </row>
    <row r="4" spans="1:12">
      <c r="A4" s="6" t="s">
        <v>5</v>
      </c>
      <c r="B4" s="7" t="s">
        <v>6</v>
      </c>
      <c r="C4" s="29">
        <v>14.15</v>
      </c>
      <c r="D4" s="29">
        <v>14.14</v>
      </c>
      <c r="E4" s="30">
        <v>14.13</v>
      </c>
      <c r="F4" s="21">
        <v>10.49</v>
      </c>
      <c r="G4" s="30">
        <v>10.48</v>
      </c>
      <c r="H4" s="6">
        <v>10.5</v>
      </c>
      <c r="I4" s="6">
        <v>10.6</v>
      </c>
      <c r="J4" s="6">
        <v>10.6</v>
      </c>
      <c r="K4" s="6">
        <v>17.71</v>
      </c>
      <c r="L4" s="6">
        <v>17.739999999999998</v>
      </c>
    </row>
    <row r="5" spans="1:12" ht="17.25" thickBot="1">
      <c r="A5" s="72" t="s">
        <v>7</v>
      </c>
      <c r="B5" s="73" t="s">
        <v>8</v>
      </c>
      <c r="C5" s="74">
        <v>60</v>
      </c>
      <c r="D5" s="74">
        <v>40</v>
      </c>
      <c r="E5" s="90">
        <v>100</v>
      </c>
      <c r="F5" s="91">
        <v>40</v>
      </c>
      <c r="G5" s="91">
        <v>60</v>
      </c>
      <c r="H5" s="72">
        <v>20</v>
      </c>
      <c r="I5" s="72">
        <v>180</v>
      </c>
      <c r="J5" s="72">
        <v>20</v>
      </c>
      <c r="K5" s="72">
        <v>-20</v>
      </c>
      <c r="L5" s="72">
        <v>-10</v>
      </c>
    </row>
    <row r="6" spans="1:12">
      <c r="A6" s="78" t="s">
        <v>9</v>
      </c>
      <c r="B6" s="79" t="s">
        <v>10</v>
      </c>
      <c r="C6" s="80">
        <f>ROUNDDOWN(+C4*C5*1000,0)</f>
        <v>849000</v>
      </c>
      <c r="D6" s="80">
        <f t="shared" ref="D6:L6" si="0">ROUNDDOWN(+D4*D5*1000,0)</f>
        <v>565600</v>
      </c>
      <c r="E6" s="80">
        <f t="shared" si="0"/>
        <v>1413000</v>
      </c>
      <c r="F6" s="80">
        <f t="shared" si="0"/>
        <v>419600</v>
      </c>
      <c r="G6" s="80">
        <f t="shared" si="0"/>
        <v>628800</v>
      </c>
      <c r="H6" s="80">
        <f t="shared" si="0"/>
        <v>210000</v>
      </c>
      <c r="I6" s="80">
        <f t="shared" si="0"/>
        <v>1908000</v>
      </c>
      <c r="J6" s="80">
        <f t="shared" si="0"/>
        <v>212000</v>
      </c>
      <c r="K6" s="80">
        <f t="shared" si="0"/>
        <v>-354200</v>
      </c>
      <c r="L6" s="80">
        <f t="shared" si="0"/>
        <v>-177400</v>
      </c>
    </row>
    <row r="7" spans="1:12">
      <c r="A7" s="32" t="s">
        <v>11</v>
      </c>
      <c r="B7" s="61" t="s">
        <v>12</v>
      </c>
      <c r="C7" s="33">
        <f t="shared" ref="C7:J7" si="1">ROUNDDOWN(ABS(C6)*0.001425*0.45,0)</f>
        <v>544</v>
      </c>
      <c r="D7" s="33">
        <f t="shared" si="1"/>
        <v>362</v>
      </c>
      <c r="E7" s="33">
        <f t="shared" si="1"/>
        <v>906</v>
      </c>
      <c r="F7" s="33">
        <f t="shared" si="1"/>
        <v>269</v>
      </c>
      <c r="G7" s="33">
        <f t="shared" si="1"/>
        <v>403</v>
      </c>
      <c r="H7" s="33">
        <f t="shared" si="1"/>
        <v>134</v>
      </c>
      <c r="I7" s="33">
        <f t="shared" si="1"/>
        <v>1223</v>
      </c>
      <c r="J7" s="33">
        <f t="shared" si="1"/>
        <v>135</v>
      </c>
      <c r="K7" s="33">
        <f t="shared" ref="K7" si="2">ROUNDDOWN(ABS(K6)*0.001425*0.45,0)</f>
        <v>227</v>
      </c>
      <c r="L7" s="33">
        <f t="shared" ref="L7" si="3">ROUNDDOWN(ABS(L6)*0.001425*0.45,0)</f>
        <v>113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>
        <f>ROUNDDOWN(ABS(K6)*1/1000,0)</f>
        <v>354</v>
      </c>
      <c r="L8" s="31">
        <f>ROUNDDOWN(ABS(L6)*1/1000,0)</f>
        <v>177</v>
      </c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849544</v>
      </c>
      <c r="D10" s="83">
        <f t="shared" ref="D10:I10" si="4">+D6+D7</f>
        <v>565962</v>
      </c>
      <c r="E10" s="83">
        <f t="shared" si="4"/>
        <v>1413906</v>
      </c>
      <c r="F10" s="83">
        <f t="shared" si="4"/>
        <v>419869</v>
      </c>
      <c r="G10" s="83">
        <f t="shared" si="4"/>
        <v>629203</v>
      </c>
      <c r="H10" s="83">
        <f t="shared" si="4"/>
        <v>210134</v>
      </c>
      <c r="I10" s="83">
        <f t="shared" si="4"/>
        <v>1909223</v>
      </c>
      <c r="J10" s="83">
        <f>SUM(J6:J9)</f>
        <v>212135</v>
      </c>
      <c r="K10" s="83">
        <f t="shared" ref="K10:L10" si="5">SUM(K6:K9)</f>
        <v>-353619</v>
      </c>
      <c r="L10" s="83">
        <f t="shared" si="5"/>
        <v>-177110</v>
      </c>
    </row>
    <row r="11" spans="1:12">
      <c r="A11" s="75" t="s">
        <v>19</v>
      </c>
      <c r="B11" s="76" t="s">
        <v>20</v>
      </c>
      <c r="C11" s="77">
        <f>+C10</f>
        <v>849544</v>
      </c>
      <c r="D11" s="77">
        <f>+C11+D10</f>
        <v>1415506</v>
      </c>
      <c r="E11" s="77">
        <f t="shared" ref="E11:I11" si="6">+D11+E10</f>
        <v>2829412</v>
      </c>
      <c r="F11" s="77">
        <f t="shared" si="6"/>
        <v>3249281</v>
      </c>
      <c r="G11" s="77">
        <f t="shared" si="6"/>
        <v>3878484</v>
      </c>
      <c r="H11" s="77">
        <f t="shared" si="6"/>
        <v>4088618</v>
      </c>
      <c r="I11" s="77">
        <f t="shared" si="6"/>
        <v>5997841</v>
      </c>
      <c r="J11" s="77">
        <f>+I11+J10</f>
        <v>6209976</v>
      </c>
      <c r="K11" s="77">
        <f t="shared" ref="K11:L11" si="7">+J11+K10</f>
        <v>5856357</v>
      </c>
      <c r="L11" s="77">
        <f t="shared" si="7"/>
        <v>5679247</v>
      </c>
    </row>
    <row r="12" spans="1:12">
      <c r="A12" s="6" t="s">
        <v>21</v>
      </c>
      <c r="B12" s="18" t="s">
        <v>22</v>
      </c>
      <c r="C12" s="19">
        <f>+C5</f>
        <v>60</v>
      </c>
      <c r="D12" s="19">
        <f>+C12+D5</f>
        <v>100</v>
      </c>
      <c r="E12" s="19">
        <f t="shared" ref="E12:I12" si="8">+D12+E5</f>
        <v>200</v>
      </c>
      <c r="F12" s="19">
        <f t="shared" si="8"/>
        <v>240</v>
      </c>
      <c r="G12" s="19">
        <f t="shared" si="8"/>
        <v>300</v>
      </c>
      <c r="H12" s="19">
        <f t="shared" si="8"/>
        <v>320</v>
      </c>
      <c r="I12" s="19">
        <f t="shared" si="8"/>
        <v>500</v>
      </c>
      <c r="J12" s="17">
        <f>+I12+J5</f>
        <v>520</v>
      </c>
      <c r="K12" s="17">
        <f t="shared" ref="K12:L12" si="9">+J12+K5</f>
        <v>500</v>
      </c>
      <c r="L12" s="17">
        <f t="shared" si="9"/>
        <v>490</v>
      </c>
    </row>
    <row r="13" spans="1:12" ht="15.6" customHeight="1">
      <c r="A13" s="6" t="s">
        <v>23</v>
      </c>
      <c r="B13" s="7" t="s">
        <v>24</v>
      </c>
      <c r="C13" s="20">
        <f>+C11/C12/1000</f>
        <v>14.159066666666668</v>
      </c>
      <c r="D13" s="20">
        <f t="shared" ref="D13:L13" si="10">+D11/D12/1000</f>
        <v>14.155059999999999</v>
      </c>
      <c r="E13" s="20">
        <f t="shared" si="10"/>
        <v>14.14706</v>
      </c>
      <c r="F13" s="20">
        <f t="shared" si="10"/>
        <v>13.538670833333333</v>
      </c>
      <c r="G13" s="34">
        <f t="shared" si="10"/>
        <v>12.928280000000001</v>
      </c>
      <c r="H13" s="20">
        <f t="shared" si="10"/>
        <v>12.776931250000001</v>
      </c>
      <c r="I13" s="34">
        <f t="shared" si="10"/>
        <v>11.995682</v>
      </c>
      <c r="J13" s="34">
        <f t="shared" si="10"/>
        <v>11.942261538461539</v>
      </c>
      <c r="K13" s="34">
        <f t="shared" si="10"/>
        <v>11.712714</v>
      </c>
      <c r="L13" s="34">
        <f t="shared" si="10"/>
        <v>11.590299999999999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2" t="s">
        <v>313</v>
      </c>
      <c r="B18" s="443"/>
      <c r="C18" s="1" t="s">
        <v>439</v>
      </c>
      <c r="D18" s="2" t="s">
        <v>529</v>
      </c>
      <c r="E18" s="1" t="s">
        <v>532</v>
      </c>
      <c r="F18" s="1" t="s">
        <v>534</v>
      </c>
      <c r="G18" s="1" t="s">
        <v>536</v>
      </c>
      <c r="H18" s="1" t="s">
        <v>537</v>
      </c>
      <c r="I18" s="1" t="s">
        <v>539</v>
      </c>
      <c r="J18" s="1" t="s">
        <v>542</v>
      </c>
      <c r="K18" s="1" t="s">
        <v>544</v>
      </c>
      <c r="L18" s="1" t="s">
        <v>545</v>
      </c>
    </row>
    <row r="19" spans="1:12">
      <c r="A19" s="3" t="s">
        <v>0</v>
      </c>
      <c r="B19" s="4" t="s">
        <v>1</v>
      </c>
      <c r="C19" s="1" t="s">
        <v>196</v>
      </c>
      <c r="D19" s="2" t="s">
        <v>530</v>
      </c>
      <c r="E19" s="1" t="s">
        <v>533</v>
      </c>
      <c r="F19" s="1" t="s">
        <v>533</v>
      </c>
      <c r="G19" s="1" t="s">
        <v>533</v>
      </c>
      <c r="H19" s="1" t="s">
        <v>538</v>
      </c>
      <c r="I19" s="1" t="s">
        <v>540</v>
      </c>
      <c r="J19" s="1" t="s">
        <v>540</v>
      </c>
      <c r="K19" s="1" t="s">
        <v>540</v>
      </c>
      <c r="L19" s="1" t="s">
        <v>540</v>
      </c>
    </row>
    <row r="20" spans="1:12">
      <c r="A20" s="6" t="s">
        <v>3</v>
      </c>
      <c r="B20" s="7" t="s">
        <v>4</v>
      </c>
      <c r="C20" s="8" t="s">
        <v>440</v>
      </c>
      <c r="D20" s="9" t="s">
        <v>531</v>
      </c>
      <c r="E20" s="8" t="s">
        <v>535</v>
      </c>
      <c r="F20" s="8" t="s">
        <v>535</v>
      </c>
      <c r="G20" s="8" t="s">
        <v>535</v>
      </c>
      <c r="H20" s="8" t="s">
        <v>535</v>
      </c>
      <c r="I20" s="8" t="s">
        <v>541</v>
      </c>
      <c r="J20" s="8" t="s">
        <v>541</v>
      </c>
      <c r="K20" s="8" t="s">
        <v>543</v>
      </c>
      <c r="L20" s="8" t="s">
        <v>543</v>
      </c>
    </row>
    <row r="21" spans="1:12">
      <c r="A21" s="6" t="s">
        <v>5</v>
      </c>
      <c r="B21" s="7" t="s">
        <v>6</v>
      </c>
      <c r="C21" s="66">
        <v>17.82</v>
      </c>
      <c r="D21" s="11">
        <v>20.45</v>
      </c>
      <c r="E21" s="6">
        <v>20.72</v>
      </c>
      <c r="F21" s="29">
        <v>20.74</v>
      </c>
      <c r="G21" s="6">
        <v>20.76</v>
      </c>
      <c r="H21" s="6">
        <v>20.8</v>
      </c>
      <c r="I21" s="6">
        <v>20.74</v>
      </c>
      <c r="J21" s="6">
        <v>20.78</v>
      </c>
      <c r="K21" s="6">
        <v>20.74</v>
      </c>
      <c r="L21" s="6">
        <v>20.77</v>
      </c>
    </row>
    <row r="22" spans="1:12" ht="17.25" thickBot="1">
      <c r="A22" s="72" t="s">
        <v>7</v>
      </c>
      <c r="B22" s="73" t="s">
        <v>8</v>
      </c>
      <c r="C22" s="93">
        <v>-2</v>
      </c>
      <c r="D22" s="91">
        <v>-8</v>
      </c>
      <c r="E22" s="72">
        <v>-5</v>
      </c>
      <c r="F22" s="74">
        <v>-5</v>
      </c>
      <c r="G22" s="72">
        <v>-5</v>
      </c>
      <c r="H22" s="72">
        <v>-5</v>
      </c>
      <c r="I22" s="72">
        <v>-10</v>
      </c>
      <c r="J22" s="72">
        <v>-10</v>
      </c>
      <c r="K22" s="72">
        <v>-40</v>
      </c>
      <c r="L22" s="72">
        <v>-20</v>
      </c>
    </row>
    <row r="23" spans="1:12">
      <c r="A23" s="78" t="s">
        <v>9</v>
      </c>
      <c r="B23" s="79" t="s">
        <v>10</v>
      </c>
      <c r="C23" s="80">
        <f t="shared" ref="C23:D23" si="11">+C21*C22*1000</f>
        <v>-35640</v>
      </c>
      <c r="D23" s="80">
        <f t="shared" si="11"/>
        <v>-163600</v>
      </c>
      <c r="E23" s="80">
        <f t="shared" ref="E23:G23" si="12">+E21*E22*1000</f>
        <v>-103600</v>
      </c>
      <c r="F23" s="80">
        <f t="shared" si="12"/>
        <v>-103699.99999999999</v>
      </c>
      <c r="G23" s="80">
        <f t="shared" si="12"/>
        <v>-103800.00000000001</v>
      </c>
      <c r="H23" s="80">
        <f t="shared" ref="H23:J23" si="13">+H21*H22*1000</f>
        <v>-104000</v>
      </c>
      <c r="I23" s="80">
        <f t="shared" si="13"/>
        <v>-207399.99999999997</v>
      </c>
      <c r="J23" s="80">
        <f t="shared" si="13"/>
        <v>-207800</v>
      </c>
      <c r="K23" s="80">
        <f t="shared" ref="K23:L23" si="14">+K21*K22*1000</f>
        <v>-829599.99999999988</v>
      </c>
      <c r="L23" s="80">
        <f t="shared" si="14"/>
        <v>-415400</v>
      </c>
    </row>
    <row r="24" spans="1:12">
      <c r="A24" s="32" t="s">
        <v>11</v>
      </c>
      <c r="B24" s="61" t="s">
        <v>12</v>
      </c>
      <c r="C24" s="33">
        <f>ROUNDDOWN(ABS(C23)*0.001425*0.45,0)</f>
        <v>22</v>
      </c>
      <c r="D24" s="33">
        <f t="shared" ref="D24:L24" si="15">ROUNDDOWN(ABS(D23)*0.001425*0.45,0)</f>
        <v>104</v>
      </c>
      <c r="E24" s="33">
        <f t="shared" si="15"/>
        <v>66</v>
      </c>
      <c r="F24" s="33">
        <f t="shared" si="15"/>
        <v>66</v>
      </c>
      <c r="G24" s="33">
        <f t="shared" si="15"/>
        <v>66</v>
      </c>
      <c r="H24" s="33">
        <f t="shared" si="15"/>
        <v>66</v>
      </c>
      <c r="I24" s="33">
        <f t="shared" si="15"/>
        <v>132</v>
      </c>
      <c r="J24" s="33">
        <f t="shared" si="15"/>
        <v>133</v>
      </c>
      <c r="K24" s="33">
        <f t="shared" si="15"/>
        <v>531</v>
      </c>
      <c r="L24" s="33">
        <f t="shared" si="15"/>
        <v>266</v>
      </c>
    </row>
    <row r="25" spans="1:12">
      <c r="A25" s="32" t="s">
        <v>13</v>
      </c>
      <c r="B25" s="61" t="s">
        <v>14</v>
      </c>
      <c r="C25" s="31">
        <f>ROUNDDOWN(ABS(C23)*1/1000,0)</f>
        <v>35</v>
      </c>
      <c r="D25" s="31">
        <f t="shared" ref="D25:L25" si="16">ROUNDDOWN(ABS(D23)*1/1000,0)</f>
        <v>163</v>
      </c>
      <c r="E25" s="31">
        <f t="shared" si="16"/>
        <v>103</v>
      </c>
      <c r="F25" s="31">
        <f t="shared" si="16"/>
        <v>103</v>
      </c>
      <c r="G25" s="31">
        <f t="shared" si="16"/>
        <v>103</v>
      </c>
      <c r="H25" s="31">
        <f t="shared" si="16"/>
        <v>104</v>
      </c>
      <c r="I25" s="31">
        <f t="shared" si="16"/>
        <v>207</v>
      </c>
      <c r="J25" s="31">
        <f t="shared" si="16"/>
        <v>207</v>
      </c>
      <c r="K25" s="31">
        <f t="shared" si="16"/>
        <v>829</v>
      </c>
      <c r="L25" s="31">
        <f t="shared" si="16"/>
        <v>415</v>
      </c>
    </row>
    <row r="26" spans="1:12">
      <c r="A26" s="32" t="s">
        <v>15</v>
      </c>
      <c r="B26" s="62" t="s">
        <v>16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pans="1:12" ht="17.25" thickBot="1">
      <c r="A27" s="81" t="s">
        <v>17</v>
      </c>
      <c r="B27" s="82" t="s">
        <v>18</v>
      </c>
      <c r="C27" s="83">
        <f t="shared" ref="C27:H27" si="17">SUM(C23:C26)</f>
        <v>-35583</v>
      </c>
      <c r="D27" s="83">
        <f t="shared" si="17"/>
        <v>-163333</v>
      </c>
      <c r="E27" s="83">
        <f t="shared" si="17"/>
        <v>-103431</v>
      </c>
      <c r="F27" s="83">
        <f t="shared" si="17"/>
        <v>-103530.99999999999</v>
      </c>
      <c r="G27" s="83">
        <f t="shared" si="17"/>
        <v>-103631.00000000001</v>
      </c>
      <c r="H27" s="83">
        <f t="shared" si="17"/>
        <v>-103830</v>
      </c>
      <c r="I27" s="83">
        <f t="shared" ref="I27" si="18">SUM(I23:I26)</f>
        <v>-207060.99999999997</v>
      </c>
      <c r="J27" s="83">
        <f t="shared" ref="J27:L27" si="19">SUM(J23:J26)</f>
        <v>-207460</v>
      </c>
      <c r="K27" s="83">
        <f t="shared" si="19"/>
        <v>-828239.99999999988</v>
      </c>
      <c r="L27" s="83">
        <f t="shared" si="19"/>
        <v>-414719</v>
      </c>
    </row>
    <row r="28" spans="1:12">
      <c r="A28" s="75" t="s">
        <v>19</v>
      </c>
      <c r="B28" s="76" t="s">
        <v>20</v>
      </c>
      <c r="C28" s="77">
        <f>L11+C27</f>
        <v>5643664</v>
      </c>
      <c r="D28" s="77">
        <f>+C28+D27</f>
        <v>5480331</v>
      </c>
      <c r="E28" s="77">
        <f>+D28+E27</f>
        <v>5376900</v>
      </c>
      <c r="F28" s="77">
        <f>+E28+F27</f>
        <v>5273369</v>
      </c>
      <c r="G28" s="77">
        <f>+F28+G27</f>
        <v>5169738</v>
      </c>
      <c r="H28" s="77">
        <f>+G28+H27</f>
        <v>5065908</v>
      </c>
      <c r="I28" s="77">
        <f t="shared" ref="I28:L28" si="20">+H28+I27</f>
        <v>4858847</v>
      </c>
      <c r="J28" s="77">
        <f t="shared" si="20"/>
        <v>4651387</v>
      </c>
      <c r="K28" s="77">
        <f t="shared" si="20"/>
        <v>3823147</v>
      </c>
      <c r="L28" s="77">
        <f t="shared" si="20"/>
        <v>3408428</v>
      </c>
    </row>
    <row r="29" spans="1:12">
      <c r="A29" s="6" t="s">
        <v>21</v>
      </c>
      <c r="B29" s="18" t="s">
        <v>22</v>
      </c>
      <c r="C29" s="17">
        <f>L12+C22</f>
        <v>488</v>
      </c>
      <c r="D29" s="19">
        <f>+C29+D22</f>
        <v>480</v>
      </c>
      <c r="E29" s="19">
        <f>+D29+E22</f>
        <v>475</v>
      </c>
      <c r="F29" s="19">
        <f>+E29+F22</f>
        <v>470</v>
      </c>
      <c r="G29" s="19">
        <f>+F29+G22</f>
        <v>465</v>
      </c>
      <c r="H29" s="19">
        <f>+G29+H22</f>
        <v>460</v>
      </c>
      <c r="I29" s="19">
        <f t="shared" ref="I29:J29" si="21">+H29+I22</f>
        <v>450</v>
      </c>
      <c r="J29" s="19">
        <f t="shared" si="21"/>
        <v>440</v>
      </c>
      <c r="K29" s="19">
        <f t="shared" ref="K29:L29" si="22">+J29+K22</f>
        <v>400</v>
      </c>
      <c r="L29" s="19">
        <f t="shared" si="22"/>
        <v>380</v>
      </c>
    </row>
    <row r="30" spans="1:12">
      <c r="A30" s="6" t="s">
        <v>23</v>
      </c>
      <c r="B30" s="7" t="s">
        <v>24</v>
      </c>
      <c r="C30" s="34">
        <f t="shared" ref="C30:D30" si="23">+C28/C29/1000</f>
        <v>11.564885245901639</v>
      </c>
      <c r="D30" s="20">
        <f t="shared" si="23"/>
        <v>11.417356250000001</v>
      </c>
      <c r="E30" s="20">
        <f t="shared" ref="E30:G30" si="24">+E28/E29/1000</f>
        <v>11.31978947368421</v>
      </c>
      <c r="F30" s="20">
        <f t="shared" si="24"/>
        <v>11.219934042553191</v>
      </c>
      <c r="G30" s="20">
        <f t="shared" si="24"/>
        <v>11.117716129032258</v>
      </c>
      <c r="H30" s="20">
        <f t="shared" ref="H30:J30" si="25">+H28/H29/1000</f>
        <v>11.012843478260869</v>
      </c>
      <c r="I30" s="20">
        <f t="shared" si="25"/>
        <v>10.797437777777777</v>
      </c>
      <c r="J30" s="20">
        <f t="shared" si="25"/>
        <v>10.571334090909092</v>
      </c>
      <c r="K30" s="20">
        <f t="shared" ref="K30:L30" si="26">+K28/K29/1000</f>
        <v>9.5578675000000004</v>
      </c>
      <c r="L30" s="20">
        <f t="shared" si="26"/>
        <v>8.9695473684210523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42" t="s">
        <v>313</v>
      </c>
      <c r="B35" s="443"/>
      <c r="C35" s="1" t="s">
        <v>546</v>
      </c>
      <c r="D35" s="1" t="s">
        <v>547</v>
      </c>
      <c r="E35" s="1" t="s">
        <v>550</v>
      </c>
      <c r="F35" s="1" t="s">
        <v>551</v>
      </c>
      <c r="G35" s="1" t="s">
        <v>552</v>
      </c>
      <c r="H35" s="1" t="s">
        <v>553</v>
      </c>
      <c r="I35" s="1" t="s">
        <v>557</v>
      </c>
      <c r="J35" s="1" t="s">
        <v>556</v>
      </c>
      <c r="K35" s="1" t="s">
        <v>558</v>
      </c>
      <c r="L35" s="1" t="s">
        <v>560</v>
      </c>
    </row>
    <row r="36" spans="1:12">
      <c r="A36" s="3" t="s">
        <v>0</v>
      </c>
      <c r="B36" s="4" t="s">
        <v>1</v>
      </c>
      <c r="C36" s="1" t="s">
        <v>540</v>
      </c>
      <c r="D36" s="1" t="s">
        <v>540</v>
      </c>
      <c r="E36" s="1" t="s">
        <v>548</v>
      </c>
      <c r="F36" s="1" t="s">
        <v>548</v>
      </c>
      <c r="G36" s="1" t="s">
        <v>548</v>
      </c>
      <c r="H36" s="1" t="s">
        <v>449</v>
      </c>
      <c r="I36" s="1" t="s">
        <v>449</v>
      </c>
      <c r="J36" s="1" t="s">
        <v>449</v>
      </c>
      <c r="K36" s="1" t="s">
        <v>449</v>
      </c>
      <c r="L36" s="1" t="s">
        <v>449</v>
      </c>
    </row>
    <row r="37" spans="1:12">
      <c r="A37" s="6" t="s">
        <v>3</v>
      </c>
      <c r="B37" s="7" t="s">
        <v>4</v>
      </c>
      <c r="C37" s="8" t="s">
        <v>543</v>
      </c>
      <c r="D37" s="8" t="s">
        <v>543</v>
      </c>
      <c r="E37" s="8" t="s">
        <v>549</v>
      </c>
      <c r="F37" s="8" t="s">
        <v>549</v>
      </c>
      <c r="G37" s="8" t="s">
        <v>549</v>
      </c>
      <c r="H37" s="8" t="s">
        <v>554</v>
      </c>
      <c r="I37" s="8" t="s">
        <v>555</v>
      </c>
      <c r="J37" s="8" t="s">
        <v>555</v>
      </c>
      <c r="K37" s="8" t="s">
        <v>559</v>
      </c>
      <c r="L37" s="8" t="s">
        <v>559</v>
      </c>
    </row>
    <row r="38" spans="1:12">
      <c r="A38" s="6" t="s">
        <v>5</v>
      </c>
      <c r="B38" s="7" t="s">
        <v>6</v>
      </c>
      <c r="C38" s="29">
        <v>20.78</v>
      </c>
      <c r="D38" s="29">
        <v>20.79</v>
      </c>
      <c r="E38" s="30">
        <v>20.75</v>
      </c>
      <c r="F38" s="21">
        <v>20.76</v>
      </c>
      <c r="G38" s="30">
        <v>20.77</v>
      </c>
      <c r="H38" s="6">
        <v>20.7</v>
      </c>
      <c r="I38" s="6">
        <v>20.54</v>
      </c>
      <c r="J38" s="6">
        <v>20.55</v>
      </c>
      <c r="K38" s="6">
        <v>20.69</v>
      </c>
      <c r="L38" s="6">
        <v>20.7</v>
      </c>
    </row>
    <row r="39" spans="1:12" ht="17.25" thickBot="1">
      <c r="A39" s="72" t="s">
        <v>7</v>
      </c>
      <c r="B39" s="73" t="s">
        <v>8</v>
      </c>
      <c r="C39" s="74">
        <v>-10</v>
      </c>
      <c r="D39" s="74">
        <v>-10</v>
      </c>
      <c r="E39" s="90">
        <v>-10</v>
      </c>
      <c r="F39" s="91">
        <v>-30</v>
      </c>
      <c r="G39" s="91">
        <v>-10</v>
      </c>
      <c r="H39" s="72">
        <v>-20</v>
      </c>
      <c r="I39" s="72">
        <v>-60</v>
      </c>
      <c r="J39" s="72">
        <v>-30</v>
      </c>
      <c r="K39" s="72">
        <v>-20</v>
      </c>
      <c r="L39" s="72">
        <v>-20</v>
      </c>
    </row>
    <row r="40" spans="1:12">
      <c r="A40" s="78" t="s">
        <v>9</v>
      </c>
      <c r="B40" s="79" t="s">
        <v>10</v>
      </c>
      <c r="C40" s="80">
        <f>ROUNDDOWN(+C38*C39*1000,0)</f>
        <v>-207800</v>
      </c>
      <c r="D40" s="80">
        <f t="shared" ref="D40:L40" si="27">ROUNDDOWN(+D38*D39*1000,0)</f>
        <v>-207900</v>
      </c>
      <c r="E40" s="80">
        <f t="shared" si="27"/>
        <v>-207500</v>
      </c>
      <c r="F40" s="80">
        <f t="shared" si="27"/>
        <v>-622800</v>
      </c>
      <c r="G40" s="80">
        <f t="shared" si="27"/>
        <v>-207700</v>
      </c>
      <c r="H40" s="80">
        <f t="shared" si="27"/>
        <v>-414000</v>
      </c>
      <c r="I40" s="80">
        <f t="shared" si="27"/>
        <v>-1232400</v>
      </c>
      <c r="J40" s="80">
        <f t="shared" si="27"/>
        <v>-616500</v>
      </c>
      <c r="K40" s="80">
        <f t="shared" si="27"/>
        <v>-413800</v>
      </c>
      <c r="L40" s="80">
        <f t="shared" si="27"/>
        <v>-414000</v>
      </c>
    </row>
    <row r="41" spans="1:12">
      <c r="A41" s="32" t="s">
        <v>11</v>
      </c>
      <c r="B41" s="61" t="s">
        <v>12</v>
      </c>
      <c r="C41" s="33">
        <f>ROUNDDOWN(ABS(C40)*0.001425*0.45,0)</f>
        <v>133</v>
      </c>
      <c r="D41" s="33">
        <f t="shared" ref="D41:L41" si="28">ROUNDDOWN(ABS(D40)*0.001425*0.45,0)</f>
        <v>133</v>
      </c>
      <c r="E41" s="33">
        <f t="shared" si="28"/>
        <v>133</v>
      </c>
      <c r="F41" s="33">
        <f t="shared" si="28"/>
        <v>399</v>
      </c>
      <c r="G41" s="33">
        <f t="shared" si="28"/>
        <v>133</v>
      </c>
      <c r="H41" s="33">
        <f t="shared" si="28"/>
        <v>265</v>
      </c>
      <c r="I41" s="33">
        <f t="shared" si="28"/>
        <v>790</v>
      </c>
      <c r="J41" s="33">
        <f t="shared" si="28"/>
        <v>395</v>
      </c>
      <c r="K41" s="33">
        <f t="shared" si="28"/>
        <v>265</v>
      </c>
      <c r="L41" s="33">
        <f t="shared" si="28"/>
        <v>265</v>
      </c>
    </row>
    <row r="42" spans="1:12">
      <c r="A42" s="32" t="s">
        <v>13</v>
      </c>
      <c r="B42" s="61" t="s">
        <v>14</v>
      </c>
      <c r="C42" s="31">
        <f>ROUNDDOWN(ABS(C40)*1/1000,0)</f>
        <v>207</v>
      </c>
      <c r="D42" s="31">
        <f t="shared" ref="D42:L42" si="29">ROUNDDOWN(ABS(D40)*1/1000,0)</f>
        <v>207</v>
      </c>
      <c r="E42" s="31">
        <f t="shared" si="29"/>
        <v>207</v>
      </c>
      <c r="F42" s="31">
        <f t="shared" si="29"/>
        <v>622</v>
      </c>
      <c r="G42" s="31">
        <f t="shared" si="29"/>
        <v>207</v>
      </c>
      <c r="H42" s="31">
        <f t="shared" si="29"/>
        <v>414</v>
      </c>
      <c r="I42" s="31">
        <f t="shared" si="29"/>
        <v>1232</v>
      </c>
      <c r="J42" s="31">
        <f t="shared" si="29"/>
        <v>616</v>
      </c>
      <c r="K42" s="31">
        <f t="shared" si="29"/>
        <v>413</v>
      </c>
      <c r="L42" s="31">
        <f t="shared" si="29"/>
        <v>414</v>
      </c>
    </row>
    <row r="43" spans="1:12">
      <c r="A43" s="32" t="s">
        <v>15</v>
      </c>
      <c r="B43" s="62" t="s">
        <v>16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ht="17.25" thickBot="1">
      <c r="A44" s="81" t="s">
        <v>17</v>
      </c>
      <c r="B44" s="82" t="s">
        <v>18</v>
      </c>
      <c r="C44" s="83">
        <f t="shared" ref="C44:D44" si="30">SUM(C40:C43)</f>
        <v>-207460</v>
      </c>
      <c r="D44" s="83">
        <f t="shared" si="30"/>
        <v>-207560</v>
      </c>
      <c r="E44" s="83">
        <f t="shared" ref="E44:G44" si="31">SUM(E40:E43)</f>
        <v>-207160</v>
      </c>
      <c r="F44" s="83">
        <f t="shared" si="31"/>
        <v>-621779</v>
      </c>
      <c r="G44" s="83">
        <f t="shared" si="31"/>
        <v>-207360</v>
      </c>
      <c r="H44" s="83">
        <f t="shared" ref="H44" si="32">SUM(H40:H43)</f>
        <v>-413321</v>
      </c>
      <c r="I44" s="83">
        <f t="shared" ref="I44:J44" si="33">SUM(I40:I43)</f>
        <v>-1230378</v>
      </c>
      <c r="J44" s="83">
        <f t="shared" si="33"/>
        <v>-615489</v>
      </c>
      <c r="K44" s="83">
        <f t="shared" ref="K44:L44" si="34">SUM(K40:K43)</f>
        <v>-413122</v>
      </c>
      <c r="L44" s="83">
        <f t="shared" si="34"/>
        <v>-413321</v>
      </c>
    </row>
    <row r="45" spans="1:12">
      <c r="A45" s="75" t="s">
        <v>19</v>
      </c>
      <c r="B45" s="76" t="s">
        <v>20</v>
      </c>
      <c r="C45" s="77">
        <f>+L28+C44</f>
        <v>3200968</v>
      </c>
      <c r="D45" s="77">
        <f t="shared" ref="D45:L45" si="35">+C45+D44</f>
        <v>2993408</v>
      </c>
      <c r="E45" s="77">
        <f t="shared" si="35"/>
        <v>2786248</v>
      </c>
      <c r="F45" s="77">
        <f t="shared" si="35"/>
        <v>2164469</v>
      </c>
      <c r="G45" s="77">
        <f t="shared" si="35"/>
        <v>1957109</v>
      </c>
      <c r="H45" s="77">
        <f t="shared" si="35"/>
        <v>1543788</v>
      </c>
      <c r="I45" s="77">
        <f t="shared" si="35"/>
        <v>313410</v>
      </c>
      <c r="J45" s="77">
        <f t="shared" si="35"/>
        <v>-302079</v>
      </c>
      <c r="K45" s="77">
        <f t="shared" si="35"/>
        <v>-715201</v>
      </c>
      <c r="L45" s="77">
        <f t="shared" si="35"/>
        <v>-1128522</v>
      </c>
    </row>
    <row r="46" spans="1:12">
      <c r="A46" s="6" t="s">
        <v>21</v>
      </c>
      <c r="B46" s="18" t="s">
        <v>22</v>
      </c>
      <c r="C46" s="19">
        <f>+L29+C39</f>
        <v>370</v>
      </c>
      <c r="D46" s="19">
        <f t="shared" ref="D46:L46" si="36">+C46+D39</f>
        <v>360</v>
      </c>
      <c r="E46" s="19">
        <f t="shared" si="36"/>
        <v>350</v>
      </c>
      <c r="F46" s="19">
        <f t="shared" si="36"/>
        <v>320</v>
      </c>
      <c r="G46" s="19">
        <f t="shared" si="36"/>
        <v>310</v>
      </c>
      <c r="H46" s="19">
        <f t="shared" si="36"/>
        <v>290</v>
      </c>
      <c r="I46" s="19">
        <f t="shared" si="36"/>
        <v>230</v>
      </c>
      <c r="J46" s="19">
        <f t="shared" si="36"/>
        <v>200</v>
      </c>
      <c r="K46" s="19">
        <f t="shared" si="36"/>
        <v>180</v>
      </c>
      <c r="L46" s="19">
        <f t="shared" si="36"/>
        <v>160</v>
      </c>
    </row>
    <row r="47" spans="1:12">
      <c r="A47" s="6" t="s">
        <v>23</v>
      </c>
      <c r="B47" s="7" t="s">
        <v>24</v>
      </c>
      <c r="C47" s="20">
        <f t="shared" ref="C47:D47" si="37">+C45/C46/1000</f>
        <v>8.6512648648648653</v>
      </c>
      <c r="D47" s="20">
        <f t="shared" si="37"/>
        <v>8.3150222222222219</v>
      </c>
      <c r="E47" s="20">
        <f t="shared" ref="E47:G47" si="38">+E45/E46/1000</f>
        <v>7.9607085714285715</v>
      </c>
      <c r="F47" s="20">
        <f t="shared" si="38"/>
        <v>6.763965625</v>
      </c>
      <c r="G47" s="20">
        <f t="shared" si="38"/>
        <v>6.3132548387096774</v>
      </c>
      <c r="H47" s="20">
        <f t="shared" ref="H47" si="39">+H45/H46/1000</f>
        <v>5.3234068965517247</v>
      </c>
      <c r="I47" s="20">
        <f t="shared" ref="I47:J47" si="40">+I45/I46/1000</f>
        <v>1.3626521739130435</v>
      </c>
      <c r="J47" s="20">
        <f t="shared" si="40"/>
        <v>-1.5103949999999999</v>
      </c>
      <c r="K47" s="20">
        <f t="shared" ref="K47:L47" si="41">+K45/K46/1000</f>
        <v>-3.9733388888888888</v>
      </c>
      <c r="L47" s="20">
        <f t="shared" si="41"/>
        <v>-7.0532624999999998</v>
      </c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21"/>
      <c r="F49" s="21"/>
      <c r="G49" s="11"/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6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42" t="s">
        <v>313</v>
      </c>
      <c r="B52" s="443"/>
      <c r="C52" s="1" t="s">
        <v>561</v>
      </c>
      <c r="D52" s="1" t="s">
        <v>562</v>
      </c>
      <c r="E52" s="1" t="s">
        <v>563</v>
      </c>
      <c r="F52" s="1" t="s">
        <v>564</v>
      </c>
      <c r="G52" s="1" t="s">
        <v>566</v>
      </c>
      <c r="H52" s="1" t="s">
        <v>567</v>
      </c>
      <c r="I52" s="1" t="s">
        <v>568</v>
      </c>
      <c r="J52" s="1"/>
      <c r="K52" s="1"/>
      <c r="L52" s="1"/>
    </row>
    <row r="53" spans="1:12">
      <c r="A53" s="3" t="s">
        <v>0</v>
      </c>
      <c r="B53" s="4" t="s">
        <v>1</v>
      </c>
      <c r="C53" s="1" t="s">
        <v>449</v>
      </c>
      <c r="D53" s="1" t="s">
        <v>449</v>
      </c>
      <c r="E53" s="1" t="s">
        <v>449</v>
      </c>
      <c r="F53" s="1" t="s">
        <v>449</v>
      </c>
      <c r="G53" s="1" t="s">
        <v>449</v>
      </c>
      <c r="H53" s="1" t="s">
        <v>449</v>
      </c>
      <c r="I53" s="1" t="s">
        <v>449</v>
      </c>
      <c r="J53" s="1"/>
      <c r="K53" s="1"/>
      <c r="L53" s="1"/>
    </row>
    <row r="54" spans="1:12">
      <c r="A54" s="6" t="s">
        <v>3</v>
      </c>
      <c r="B54" s="7" t="s">
        <v>4</v>
      </c>
      <c r="C54" s="8" t="s">
        <v>559</v>
      </c>
      <c r="D54" s="8" t="s">
        <v>559</v>
      </c>
      <c r="E54" s="8" t="s">
        <v>559</v>
      </c>
      <c r="F54" s="8" t="s">
        <v>565</v>
      </c>
      <c r="G54" s="8" t="s">
        <v>565</v>
      </c>
      <c r="H54" s="8" t="s">
        <v>565</v>
      </c>
      <c r="I54" s="8" t="s">
        <v>569</v>
      </c>
      <c r="J54" s="8"/>
      <c r="K54" s="8"/>
      <c r="L54" s="8"/>
    </row>
    <row r="55" spans="1:12">
      <c r="A55" s="6" t="s">
        <v>5</v>
      </c>
      <c r="B55" s="7" t="s">
        <v>6</v>
      </c>
      <c r="C55" s="6">
        <v>20.71</v>
      </c>
      <c r="D55" s="6">
        <v>20.72</v>
      </c>
      <c r="E55" s="6">
        <v>20.73</v>
      </c>
      <c r="F55" s="29">
        <v>20.72</v>
      </c>
      <c r="G55" s="6">
        <v>20.73</v>
      </c>
      <c r="H55" s="6">
        <v>20.74</v>
      </c>
      <c r="I55" s="6">
        <v>20.309999999999999</v>
      </c>
      <c r="J55" s="6"/>
      <c r="K55" s="6"/>
      <c r="L55" s="6"/>
    </row>
    <row r="56" spans="1:12" ht="17.25" thickBot="1">
      <c r="A56" s="72" t="s">
        <v>7</v>
      </c>
      <c r="B56" s="73" t="s">
        <v>8</v>
      </c>
      <c r="C56" s="72">
        <v>-40</v>
      </c>
      <c r="D56" s="72">
        <v>-30</v>
      </c>
      <c r="E56" s="72">
        <v>-4</v>
      </c>
      <c r="F56" s="74">
        <v>-6</v>
      </c>
      <c r="G56" s="72">
        <v>-10</v>
      </c>
      <c r="H56" s="72">
        <v>-30</v>
      </c>
      <c r="I56" s="72">
        <v>-40</v>
      </c>
      <c r="J56" s="72"/>
      <c r="K56" s="72"/>
      <c r="L56" s="72"/>
    </row>
    <row r="57" spans="1:12">
      <c r="A57" s="78" t="s">
        <v>9</v>
      </c>
      <c r="B57" s="79" t="s">
        <v>10</v>
      </c>
      <c r="C57" s="80">
        <f>ROUNDDOWN(+C55*C56*1000,0)</f>
        <v>-828400</v>
      </c>
      <c r="D57" s="80">
        <f t="shared" ref="D57:I57" si="42">ROUNDDOWN(+D55*D56*1000,0)</f>
        <v>-621600</v>
      </c>
      <c r="E57" s="80">
        <f t="shared" si="42"/>
        <v>-82920</v>
      </c>
      <c r="F57" s="80">
        <f t="shared" si="42"/>
        <v>-124320</v>
      </c>
      <c r="G57" s="80">
        <f t="shared" si="42"/>
        <v>-207300</v>
      </c>
      <c r="H57" s="80">
        <f t="shared" si="42"/>
        <v>-622200</v>
      </c>
      <c r="I57" s="80">
        <f t="shared" si="42"/>
        <v>-812400</v>
      </c>
      <c r="J57" s="80">
        <f t="shared" ref="J57:L57" si="43">+J55*J56*1000</f>
        <v>0</v>
      </c>
      <c r="K57" s="80">
        <f t="shared" si="43"/>
        <v>0</v>
      </c>
      <c r="L57" s="80">
        <f t="shared" si="43"/>
        <v>0</v>
      </c>
    </row>
    <row r="58" spans="1:12">
      <c r="A58" s="32" t="s">
        <v>11</v>
      </c>
      <c r="B58" s="61" t="s">
        <v>12</v>
      </c>
      <c r="C58" s="33">
        <f>ROUNDDOWN(ABS(C57)*0.001425*0.45,0)</f>
        <v>531</v>
      </c>
      <c r="D58" s="33">
        <f t="shared" ref="D58:I58" si="44">ROUNDDOWN(ABS(D57)*0.001425*0.45,0)</f>
        <v>398</v>
      </c>
      <c r="E58" s="33">
        <f t="shared" si="44"/>
        <v>53</v>
      </c>
      <c r="F58" s="33">
        <f t="shared" si="44"/>
        <v>79</v>
      </c>
      <c r="G58" s="33">
        <f t="shared" si="44"/>
        <v>132</v>
      </c>
      <c r="H58" s="33">
        <f t="shared" si="44"/>
        <v>398</v>
      </c>
      <c r="I58" s="33">
        <f t="shared" si="44"/>
        <v>520</v>
      </c>
      <c r="J58" s="33">
        <f t="shared" ref="J58" si="45">-+J57*0.001425*0.45</f>
        <v>0</v>
      </c>
      <c r="K58" s="33">
        <f t="shared" ref="K58" si="46">-+K57*0.001425*0.45</f>
        <v>0</v>
      </c>
      <c r="L58" s="33">
        <f t="shared" ref="L58" si="47">-+L57*0.001425*0.45</f>
        <v>0</v>
      </c>
    </row>
    <row r="59" spans="1:12">
      <c r="A59" s="32" t="s">
        <v>13</v>
      </c>
      <c r="B59" s="61" t="s">
        <v>14</v>
      </c>
      <c r="C59" s="31">
        <f>ROUNDDOWN(ABS(C57)*1/1000,0)</f>
        <v>828</v>
      </c>
      <c r="D59" s="31">
        <f t="shared" ref="D59:I59" si="48">ROUNDDOWN(ABS(D57)*1/1000,0)</f>
        <v>621</v>
      </c>
      <c r="E59" s="31">
        <f t="shared" si="48"/>
        <v>82</v>
      </c>
      <c r="F59" s="31">
        <f t="shared" si="48"/>
        <v>124</v>
      </c>
      <c r="G59" s="31">
        <f t="shared" si="48"/>
        <v>207</v>
      </c>
      <c r="H59" s="31">
        <f t="shared" si="48"/>
        <v>622</v>
      </c>
      <c r="I59" s="31">
        <f t="shared" si="48"/>
        <v>812</v>
      </c>
      <c r="J59" s="31">
        <f t="shared" ref="J59:L59" si="49">-ROUNDDOWN(J57*1/1000,0)</f>
        <v>0</v>
      </c>
      <c r="K59" s="31">
        <f t="shared" si="49"/>
        <v>0</v>
      </c>
      <c r="L59" s="31">
        <f t="shared" si="49"/>
        <v>0</v>
      </c>
    </row>
    <row r="60" spans="1:12">
      <c r="A60" s="32" t="s">
        <v>15</v>
      </c>
      <c r="B60" s="62" t="s">
        <v>16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pans="1:12" ht="17.25" thickBot="1">
      <c r="A61" s="81" t="s">
        <v>17</v>
      </c>
      <c r="B61" s="82" t="s">
        <v>18</v>
      </c>
      <c r="C61" s="83">
        <f t="shared" ref="C61:E61" si="50">SUM(C57:C60)</f>
        <v>-827041</v>
      </c>
      <c r="D61" s="83">
        <f t="shared" si="50"/>
        <v>-620581</v>
      </c>
      <c r="E61" s="83">
        <f t="shared" si="50"/>
        <v>-82785</v>
      </c>
      <c r="F61" s="83">
        <f t="shared" ref="F61:H61" si="51">SUM(F57:F60)</f>
        <v>-124117</v>
      </c>
      <c r="G61" s="83">
        <f t="shared" si="51"/>
        <v>-206961</v>
      </c>
      <c r="H61" s="83">
        <f t="shared" si="51"/>
        <v>-621180</v>
      </c>
      <c r="I61" s="83">
        <f t="shared" ref="I61" si="52">SUM(I57:I60)</f>
        <v>-811068</v>
      </c>
      <c r="J61" s="83">
        <f t="shared" ref="J61" si="53">SUM(J57:J60)</f>
        <v>0</v>
      </c>
      <c r="K61" s="83">
        <f t="shared" ref="K61" si="54">SUM(K57:K60)</f>
        <v>0</v>
      </c>
      <c r="L61" s="83">
        <f t="shared" ref="L61" si="55">SUM(L57:L60)</f>
        <v>0</v>
      </c>
    </row>
    <row r="62" spans="1:12">
      <c r="A62" s="75" t="s">
        <v>19</v>
      </c>
      <c r="B62" s="76" t="s">
        <v>20</v>
      </c>
      <c r="C62" s="77">
        <f>+L45+C61</f>
        <v>-1955563</v>
      </c>
      <c r="D62" s="77">
        <f t="shared" ref="D62:I62" si="56">+C62+D61</f>
        <v>-2576144</v>
      </c>
      <c r="E62" s="77">
        <f t="shared" si="56"/>
        <v>-2658929</v>
      </c>
      <c r="F62" s="77">
        <f t="shared" si="56"/>
        <v>-2783046</v>
      </c>
      <c r="G62" s="77">
        <f t="shared" si="56"/>
        <v>-2990007</v>
      </c>
      <c r="H62" s="77">
        <f t="shared" si="56"/>
        <v>-3611187</v>
      </c>
      <c r="I62" s="77">
        <f t="shared" si="56"/>
        <v>-4422255</v>
      </c>
      <c r="J62" s="77"/>
      <c r="K62" s="77"/>
      <c r="L62" s="77"/>
    </row>
    <row r="63" spans="1:12">
      <c r="A63" s="6" t="s">
        <v>21</v>
      </c>
      <c r="B63" s="18" t="s">
        <v>22</v>
      </c>
      <c r="C63" s="17">
        <f>+L46+C56</f>
        <v>120</v>
      </c>
      <c r="D63" s="19">
        <f t="shared" ref="D63:H63" si="57">+C63+D56</f>
        <v>90</v>
      </c>
      <c r="E63" s="19">
        <f t="shared" si="57"/>
        <v>86</v>
      </c>
      <c r="F63" s="19">
        <f t="shared" si="57"/>
        <v>80</v>
      </c>
      <c r="G63" s="19">
        <f t="shared" si="57"/>
        <v>70</v>
      </c>
      <c r="H63" s="19">
        <f t="shared" si="57"/>
        <v>40</v>
      </c>
      <c r="I63" s="19"/>
      <c r="J63" s="19"/>
      <c r="K63" s="19"/>
      <c r="L63" s="19"/>
    </row>
    <row r="64" spans="1:12">
      <c r="A64" s="6" t="s">
        <v>23</v>
      </c>
      <c r="B64" s="7" t="s">
        <v>24</v>
      </c>
      <c r="C64" s="34">
        <f t="shared" ref="C64:E64" si="58">+C62/C63/1000</f>
        <v>-16.296358333333334</v>
      </c>
      <c r="D64" s="20">
        <f t="shared" si="58"/>
        <v>-28.62382222222222</v>
      </c>
      <c r="E64" s="20">
        <f t="shared" si="58"/>
        <v>-30.917779069767441</v>
      </c>
      <c r="F64" s="20">
        <f t="shared" ref="F64:H64" si="59">+F62/F63/1000</f>
        <v>-34.788074999999999</v>
      </c>
      <c r="G64" s="20">
        <f t="shared" si="59"/>
        <v>-42.714385714285719</v>
      </c>
      <c r="H64" s="20">
        <f t="shared" si="59"/>
        <v>-90.279674999999997</v>
      </c>
      <c r="I64" s="20"/>
      <c r="J64" s="20"/>
      <c r="K64" s="20"/>
      <c r="L64" s="20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46"/>
      <c r="D66" s="11"/>
      <c r="E66" s="6"/>
      <c r="F66" s="6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4"/>
  <sheetViews>
    <sheetView topLeftCell="A16" zoomScale="85" zoomScaleNormal="85" workbookViewId="0">
      <selection activeCell="O32" sqref="O32:O33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375" customWidth="1"/>
    <col min="15" max="15" width="13.25" customWidth="1"/>
    <col min="16" max="16" width="14.625" customWidth="1"/>
    <col min="17" max="17" width="7.25" customWidth="1"/>
    <col min="18" max="18" width="12.2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570</v>
      </c>
    </row>
    <row r="3" spans="1:23" ht="17.45" customHeight="1">
      <c r="A3" s="7"/>
      <c r="B3" s="72"/>
      <c r="C3" s="72"/>
      <c r="D3" s="72"/>
      <c r="E3" s="388"/>
      <c r="F3" s="389"/>
      <c r="G3" s="72"/>
      <c r="H3" s="72" t="s">
        <v>372</v>
      </c>
      <c r="I3" s="72"/>
      <c r="J3" s="72" t="s">
        <v>373</v>
      </c>
      <c r="K3" s="6"/>
      <c r="L3" s="391" t="s">
        <v>374</v>
      </c>
      <c r="M3" s="392"/>
      <c r="N3" s="120" t="s">
        <v>375</v>
      </c>
      <c r="O3" s="168" t="s">
        <v>376</v>
      </c>
      <c r="P3" s="393" t="s">
        <v>483</v>
      </c>
      <c r="Q3" s="392"/>
      <c r="R3" s="383" t="s">
        <v>484</v>
      </c>
      <c r="S3" s="378"/>
      <c r="T3" s="368" t="s">
        <v>485</v>
      </c>
      <c r="U3" s="369"/>
    </row>
    <row r="4" spans="1:23" ht="18.75" customHeight="1">
      <c r="A4" s="7"/>
      <c r="B4" s="122"/>
      <c r="C4" s="122"/>
      <c r="D4" s="122"/>
      <c r="E4" s="390" t="s">
        <v>493</v>
      </c>
      <c r="F4" s="390"/>
      <c r="G4" s="209"/>
      <c r="H4" s="395" t="s">
        <v>571</v>
      </c>
      <c r="I4" s="396"/>
      <c r="J4" s="396"/>
      <c r="K4" s="396"/>
      <c r="L4" s="396"/>
      <c r="M4" s="396"/>
      <c r="N4" s="396"/>
      <c r="O4" s="397"/>
      <c r="P4" s="376" t="s">
        <v>380</v>
      </c>
      <c r="Q4" s="377"/>
      <c r="R4" s="377"/>
      <c r="S4" s="377"/>
      <c r="T4" s="377"/>
      <c r="U4" s="378"/>
    </row>
    <row r="5" spans="1:23" ht="20.25" customHeight="1">
      <c r="A5" s="7"/>
      <c r="B5" s="383" t="s">
        <v>381</v>
      </c>
      <c r="C5" s="378"/>
      <c r="D5" s="123" t="s">
        <v>382</v>
      </c>
      <c r="E5" s="123" t="s">
        <v>383</v>
      </c>
      <c r="F5" s="123" t="s">
        <v>384</v>
      </c>
      <c r="G5" s="123"/>
      <c r="H5" s="394" t="s">
        <v>377</v>
      </c>
      <c r="I5" s="394"/>
      <c r="J5" s="394" t="s">
        <v>378</v>
      </c>
      <c r="K5" s="394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46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T6/$P$32*100</f>
        <v>1.3236079949426305</v>
      </c>
      <c r="R6" s="250">
        <v>0</v>
      </c>
      <c r="S6" s="251">
        <f>R6/$R$32*100</f>
        <v>0</v>
      </c>
      <c r="T6" s="252">
        <v>813975</v>
      </c>
      <c r="U6" s="253">
        <f>T6/$T$32*100</f>
        <v>3.3007372100361878</v>
      </c>
    </row>
    <row r="7" spans="1:23" ht="20.25" customHeight="1">
      <c r="A7" s="347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 t="shared" ref="Q7:Q8" si="0">T7/$P$32*100</f>
        <v>10.651387657941541</v>
      </c>
      <c r="R7" s="240">
        <v>0</v>
      </c>
      <c r="S7" s="241">
        <f>R7/$R$32*100</f>
        <v>0</v>
      </c>
      <c r="T7" s="242">
        <v>6550250</v>
      </c>
      <c r="U7" s="243">
        <f>T7/$T$32*100</f>
        <v>26.561815670063009</v>
      </c>
    </row>
    <row r="8" spans="1:23" ht="20.25" customHeight="1">
      <c r="A8" s="347"/>
      <c r="B8" s="121">
        <v>3</v>
      </c>
      <c r="C8" s="135" t="s">
        <v>389</v>
      </c>
      <c r="D8" s="124" t="s">
        <v>390</v>
      </c>
      <c r="E8" s="129"/>
      <c r="F8" s="129"/>
      <c r="G8" s="258"/>
      <c r="H8" s="258"/>
      <c r="I8" s="130"/>
      <c r="J8" s="130"/>
      <c r="K8" s="131"/>
      <c r="L8" s="198"/>
      <c r="M8" s="199"/>
      <c r="N8" s="132"/>
      <c r="O8" s="259"/>
      <c r="P8" s="260">
        <v>4422236</v>
      </c>
      <c r="Q8" s="190">
        <f t="shared" si="0"/>
        <v>7.1910156025960488</v>
      </c>
      <c r="R8" s="262"/>
      <c r="S8" s="241"/>
      <c r="T8" s="286">
        <v>4422236</v>
      </c>
      <c r="U8" s="243">
        <f>T8/$T$32*100</f>
        <v>17.932539594903517</v>
      </c>
    </row>
    <row r="9" spans="1:23" ht="20.25" customHeight="1">
      <c r="A9" s="347"/>
      <c r="B9" s="121">
        <v>4</v>
      </c>
      <c r="C9" s="121"/>
      <c r="D9" s="128"/>
      <c r="E9" s="129"/>
      <c r="F9" s="129"/>
      <c r="G9" s="258"/>
      <c r="H9" s="258"/>
      <c r="I9" s="130"/>
      <c r="J9" s="130"/>
      <c r="K9" s="131"/>
      <c r="L9" s="198"/>
      <c r="M9" s="199"/>
      <c r="N9" s="132"/>
      <c r="O9" s="259"/>
      <c r="P9" s="260"/>
      <c r="Q9" s="261"/>
      <c r="R9" s="262"/>
      <c r="S9" s="263"/>
      <c r="T9" s="264"/>
      <c r="U9" s="265"/>
    </row>
    <row r="10" spans="1:23" ht="20.25" customHeight="1" thickBot="1">
      <c r="A10" s="347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48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SUM(P6:P9)</f>
        <v>11786461</v>
      </c>
      <c r="Q11" s="218">
        <f>T11/$P$32*100</f>
        <v>19.166011255480221</v>
      </c>
      <c r="R11" s="194">
        <f>SUM(R6:R7)</f>
        <v>0</v>
      </c>
      <c r="S11" s="195">
        <f>SUM(S6:S7)</f>
        <v>0</v>
      </c>
      <c r="T11" s="214">
        <f>SUM(T6:T9)</f>
        <v>11786461</v>
      </c>
      <c r="U11" s="213">
        <f>SUM(U6:U8)</f>
        <v>47.795092475002718</v>
      </c>
    </row>
    <row r="12" spans="1:23" ht="20.25" customHeight="1">
      <c r="A12" s="349" t="s">
        <v>513</v>
      </c>
      <c r="B12" s="133">
        <v>1</v>
      </c>
      <c r="C12" s="133" t="s">
        <v>387</v>
      </c>
      <c r="D12" s="124" t="s">
        <v>155</v>
      </c>
      <c r="E12" s="103">
        <v>0.7</v>
      </c>
      <c r="F12" s="103">
        <v>0</v>
      </c>
      <c r="G12" s="134"/>
      <c r="H12" s="134">
        <v>100000</v>
      </c>
      <c r="I12" s="126"/>
      <c r="J12" s="160">
        <v>18.77</v>
      </c>
      <c r="K12" s="127">
        <f t="shared" ref="K12:L21" si="1">I12*G12</f>
        <v>0</v>
      </c>
      <c r="L12" s="200">
        <f t="shared" si="1"/>
        <v>1877000</v>
      </c>
      <c r="M12" s="196">
        <f t="shared" ref="M12:M22" si="2">L12/$L$30*100</f>
        <v>2.0548186654358283</v>
      </c>
      <c r="N12" s="166">
        <v>39.08</v>
      </c>
      <c r="O12" s="170">
        <f t="shared" ref="O12:O22" si="3">ROUND(N12*H12,0)</f>
        <v>3908000</v>
      </c>
      <c r="P12" s="191">
        <f t="shared" ref="P12:P22" si="4">O12-L12</f>
        <v>2031000</v>
      </c>
      <c r="Q12" s="192">
        <f t="shared" ref="Q12:Q22" si="5">P12/$P$32*100</f>
        <v>3.3026172028974878</v>
      </c>
      <c r="R12" s="215">
        <v>1100751</v>
      </c>
      <c r="S12" s="196">
        <f t="shared" ref="S12:S22" si="6">R12/$R$32*100</f>
        <v>2.9882250331344515</v>
      </c>
      <c r="T12" s="200">
        <f>P12-R12</f>
        <v>930249</v>
      </c>
      <c r="U12" s="196">
        <f t="shared" ref="U12:U22" si="7">T12/$T$32*100</f>
        <v>3.7722380772123878</v>
      </c>
      <c r="W12" s="136"/>
    </row>
    <row r="13" spans="1:23" ht="20.25" customHeight="1">
      <c r="A13" s="350"/>
      <c r="B13" s="133">
        <v>2</v>
      </c>
      <c r="C13" s="133" t="s">
        <v>446</v>
      </c>
      <c r="D13" s="124" t="s">
        <v>447</v>
      </c>
      <c r="E13" s="103">
        <v>0.31</v>
      </c>
      <c r="F13" s="103">
        <v>0</v>
      </c>
      <c r="G13" s="134"/>
      <c r="H13" s="134">
        <v>400000</v>
      </c>
      <c r="I13" s="126"/>
      <c r="J13" s="160">
        <v>28.916</v>
      </c>
      <c r="K13" s="127">
        <f>I13*G13</f>
        <v>0</v>
      </c>
      <c r="L13" s="200">
        <f>J13*H13</f>
        <v>11566400</v>
      </c>
      <c r="M13" s="196">
        <f t="shared" si="2"/>
        <v>12.662149500211489</v>
      </c>
      <c r="N13" s="166">
        <v>29.81</v>
      </c>
      <c r="O13" s="170">
        <f t="shared" si="3"/>
        <v>11924000</v>
      </c>
      <c r="P13" s="191">
        <f t="shared" si="4"/>
        <v>357600</v>
      </c>
      <c r="Q13" s="192">
        <f t="shared" si="5"/>
        <v>0.58149478668446164</v>
      </c>
      <c r="R13" s="215">
        <v>207478</v>
      </c>
      <c r="S13" s="196">
        <f t="shared" si="6"/>
        <v>0.5632435977116258</v>
      </c>
      <c r="T13" s="200">
        <f t="shared" ref="T13:T22" si="8">P13-R13</f>
        <v>150122</v>
      </c>
      <c r="U13" s="196">
        <f t="shared" si="7"/>
        <v>0.60875735918800034</v>
      </c>
    </row>
    <row r="14" spans="1:23" ht="20.25" customHeight="1">
      <c r="A14" s="350"/>
      <c r="B14" s="133">
        <v>3</v>
      </c>
      <c r="C14" s="135" t="s">
        <v>391</v>
      </c>
      <c r="D14" s="124" t="s">
        <v>392</v>
      </c>
      <c r="E14" s="103" t="s">
        <v>498</v>
      </c>
      <c r="F14" s="103" t="s">
        <v>498</v>
      </c>
      <c r="G14" s="134"/>
      <c r="H14" s="134">
        <v>230000</v>
      </c>
      <c r="I14" s="126"/>
      <c r="J14" s="160">
        <v>12.726000000000001</v>
      </c>
      <c r="K14" s="127">
        <f>I14*G14</f>
        <v>0</v>
      </c>
      <c r="L14" s="200">
        <f>J14*H14</f>
        <v>2926980</v>
      </c>
      <c r="M14" s="196">
        <f t="shared" si="2"/>
        <v>3.2042691195297603</v>
      </c>
      <c r="N14" s="166">
        <v>20.76</v>
      </c>
      <c r="O14" s="170">
        <f t="shared" si="3"/>
        <v>4774800</v>
      </c>
      <c r="P14" s="191">
        <f t="shared" si="4"/>
        <v>1847820</v>
      </c>
      <c r="Q14" s="192">
        <f t="shared" si="5"/>
        <v>3.0047474740807658</v>
      </c>
      <c r="R14" s="215">
        <v>1435324</v>
      </c>
      <c r="S14" s="196">
        <f t="shared" si="6"/>
        <v>3.8964953086199094</v>
      </c>
      <c r="T14" s="200">
        <f t="shared" si="8"/>
        <v>412496</v>
      </c>
      <c r="U14" s="196">
        <f t="shared" si="7"/>
        <v>1.6727060366609383</v>
      </c>
    </row>
    <row r="15" spans="1:23" ht="20.25" customHeight="1">
      <c r="A15" s="350"/>
      <c r="B15" s="133">
        <v>4</v>
      </c>
      <c r="C15" s="123">
        <v>1216</v>
      </c>
      <c r="D15" s="124" t="s">
        <v>443</v>
      </c>
      <c r="E15" s="133" t="s">
        <v>497</v>
      </c>
      <c r="F15" s="103" t="s">
        <v>507</v>
      </c>
      <c r="G15" s="134"/>
      <c r="H15" s="134">
        <v>30000</v>
      </c>
      <c r="I15" s="126"/>
      <c r="J15" s="160">
        <v>67.742999999999995</v>
      </c>
      <c r="K15" s="127"/>
      <c r="L15" s="200">
        <f>J15*H15</f>
        <v>2032289.9999999998</v>
      </c>
      <c r="M15" s="196">
        <f t="shared" si="2"/>
        <v>2.224820152146286</v>
      </c>
      <c r="N15" s="166">
        <v>78</v>
      </c>
      <c r="O15" s="170">
        <f t="shared" si="3"/>
        <v>2340000</v>
      </c>
      <c r="P15" s="191">
        <f t="shared" si="4"/>
        <v>307710.00000000023</v>
      </c>
      <c r="Q15" s="192">
        <f t="shared" si="5"/>
        <v>0.50036845864282953</v>
      </c>
      <c r="R15" s="215">
        <v>295753</v>
      </c>
      <c r="S15" s="196">
        <f t="shared" si="6"/>
        <v>0.80288504686765083</v>
      </c>
      <c r="T15" s="200">
        <f t="shared" si="8"/>
        <v>11957.000000000233</v>
      </c>
      <c r="U15" s="196">
        <f t="shared" si="7"/>
        <v>4.8486642489515605E-2</v>
      </c>
    </row>
    <row r="16" spans="1:23" ht="20.25" customHeight="1">
      <c r="A16" s="350"/>
      <c r="B16" s="133">
        <v>5</v>
      </c>
      <c r="C16" s="123">
        <v>2535</v>
      </c>
      <c r="D16" s="124" t="s">
        <v>393</v>
      </c>
      <c r="E16" s="133" t="s">
        <v>497</v>
      </c>
      <c r="F16" s="103" t="s">
        <v>507</v>
      </c>
      <c r="G16" s="134"/>
      <c r="H16" s="134">
        <v>400000</v>
      </c>
      <c r="I16" s="126"/>
      <c r="J16" s="160">
        <v>15.254</v>
      </c>
      <c r="K16" s="127">
        <f t="shared" si="1"/>
        <v>0</v>
      </c>
      <c r="L16" s="200">
        <f t="shared" si="1"/>
        <v>6101600</v>
      </c>
      <c r="M16" s="196">
        <f t="shared" si="2"/>
        <v>6.6796385556863349</v>
      </c>
      <c r="N16" s="166">
        <v>51.2</v>
      </c>
      <c r="O16" s="170">
        <f t="shared" si="3"/>
        <v>20480000</v>
      </c>
      <c r="P16" s="191">
        <f t="shared" si="4"/>
        <v>14378400</v>
      </c>
      <c r="Q16" s="192">
        <f t="shared" si="5"/>
        <v>23.380773604205434</v>
      </c>
      <c r="R16" s="215">
        <v>9070484</v>
      </c>
      <c r="S16" s="196">
        <f t="shared" si="6"/>
        <v>24.623777177077752</v>
      </c>
      <c r="T16" s="200">
        <f t="shared" si="8"/>
        <v>5307916</v>
      </c>
      <c r="U16" s="196">
        <f t="shared" si="7"/>
        <v>21.524046621759197</v>
      </c>
    </row>
    <row r="17" spans="1:21" ht="20.25" customHeight="1">
      <c r="A17" s="350"/>
      <c r="B17" s="133">
        <v>6</v>
      </c>
      <c r="C17" s="123">
        <v>2834</v>
      </c>
      <c r="D17" s="124" t="s">
        <v>394</v>
      </c>
      <c r="E17" s="133" t="s">
        <v>499</v>
      </c>
      <c r="F17" s="133" t="s">
        <v>499</v>
      </c>
      <c r="G17" s="134"/>
      <c r="H17" s="134">
        <v>3503615</v>
      </c>
      <c r="I17" s="126"/>
      <c r="J17" s="160">
        <v>9.4079999999999995</v>
      </c>
      <c r="K17" s="127">
        <f t="shared" si="1"/>
        <v>0</v>
      </c>
      <c r="L17" s="200">
        <f t="shared" si="1"/>
        <v>32962009.919999998</v>
      </c>
      <c r="M17" s="196">
        <f t="shared" si="2"/>
        <v>36.08468472770214</v>
      </c>
      <c r="N17" s="166">
        <v>15.05</v>
      </c>
      <c r="O17" s="170">
        <f t="shared" si="3"/>
        <v>52729406</v>
      </c>
      <c r="P17" s="191">
        <f t="shared" si="4"/>
        <v>19767396.080000002</v>
      </c>
      <c r="Q17" s="192">
        <f t="shared" si="5"/>
        <v>32.143841629884967</v>
      </c>
      <c r="R17" s="215">
        <v>17677583</v>
      </c>
      <c r="S17" s="196">
        <f t="shared" si="6"/>
        <v>47.989596235580997</v>
      </c>
      <c r="T17" s="200">
        <f t="shared" si="8"/>
        <v>2089813.0800000019</v>
      </c>
      <c r="U17" s="196">
        <f t="shared" si="7"/>
        <v>8.4743681257733208</v>
      </c>
    </row>
    <row r="18" spans="1:21" ht="20.25" customHeight="1">
      <c r="A18" s="350"/>
      <c r="B18" s="133">
        <v>7</v>
      </c>
      <c r="C18" s="135">
        <v>2884</v>
      </c>
      <c r="D18" s="124" t="s">
        <v>395</v>
      </c>
      <c r="E18" s="133" t="s">
        <v>500</v>
      </c>
      <c r="F18" s="133" t="s">
        <v>501</v>
      </c>
      <c r="G18" s="134"/>
      <c r="H18" s="134">
        <v>515629</v>
      </c>
      <c r="I18" s="126"/>
      <c r="J18" s="160">
        <v>23.53</v>
      </c>
      <c r="K18" s="127"/>
      <c r="L18" s="200">
        <f>J18*H18</f>
        <v>12132750.370000001</v>
      </c>
      <c r="M18" s="196">
        <f t="shared" si="2"/>
        <v>13.282153395497845</v>
      </c>
      <c r="N18" s="166">
        <v>25.7</v>
      </c>
      <c r="O18" s="170">
        <f t="shared" si="3"/>
        <v>13251665</v>
      </c>
      <c r="P18" s="191">
        <f t="shared" si="4"/>
        <v>1118914.629999999</v>
      </c>
      <c r="Q18" s="192">
        <f t="shared" si="5"/>
        <v>1.8194715438757627</v>
      </c>
      <c r="R18" s="215">
        <v>956879</v>
      </c>
      <c r="S18" s="196">
        <f t="shared" si="6"/>
        <v>2.597653585125665</v>
      </c>
      <c r="T18" s="200">
        <f t="shared" si="8"/>
        <v>162035.62999999896</v>
      </c>
      <c r="U18" s="196">
        <f t="shared" si="7"/>
        <v>0.65706813267318109</v>
      </c>
    </row>
    <row r="19" spans="1:21" ht="20.25" customHeight="1">
      <c r="A19" s="350"/>
      <c r="B19" s="133">
        <v>8</v>
      </c>
      <c r="C19" s="123">
        <v>2887</v>
      </c>
      <c r="D19" s="124" t="s">
        <v>90</v>
      </c>
      <c r="E19" s="133" t="s">
        <v>502</v>
      </c>
      <c r="F19" s="133" t="s">
        <v>503</v>
      </c>
      <c r="G19" s="134"/>
      <c r="H19" s="134">
        <v>884449</v>
      </c>
      <c r="I19" s="126"/>
      <c r="J19" s="160">
        <v>13.222</v>
      </c>
      <c r="K19" s="127">
        <f t="shared" si="1"/>
        <v>0</v>
      </c>
      <c r="L19" s="200">
        <f t="shared" si="1"/>
        <v>11694184.677999999</v>
      </c>
      <c r="M19" s="196">
        <f t="shared" si="2"/>
        <v>12.802039932556244</v>
      </c>
      <c r="N19" s="166">
        <v>17.95</v>
      </c>
      <c r="O19" s="170">
        <f t="shared" si="3"/>
        <v>15875860</v>
      </c>
      <c r="P19" s="191">
        <f t="shared" si="4"/>
        <v>4181675.3220000006</v>
      </c>
      <c r="Q19" s="192">
        <f t="shared" si="5"/>
        <v>6.7998389243570125</v>
      </c>
      <c r="R19" s="215">
        <v>2756583</v>
      </c>
      <c r="S19" s="196">
        <f t="shared" si="6"/>
        <v>7.483336673337444</v>
      </c>
      <c r="T19" s="200">
        <f t="shared" si="8"/>
        <v>1425092.3220000006</v>
      </c>
      <c r="U19" s="196">
        <f t="shared" si="7"/>
        <v>5.7788694431183698</v>
      </c>
    </row>
    <row r="20" spans="1:21" ht="20.25" customHeight="1">
      <c r="A20" s="350"/>
      <c r="B20" s="133">
        <v>9</v>
      </c>
      <c r="C20" s="123">
        <v>5410</v>
      </c>
      <c r="D20" s="124" t="s">
        <v>397</v>
      </c>
      <c r="E20" s="133" t="s">
        <v>506</v>
      </c>
      <c r="F20" s="103" t="s">
        <v>507</v>
      </c>
      <c r="G20" s="134"/>
      <c r="H20" s="134">
        <v>145000</v>
      </c>
      <c r="I20" s="126"/>
      <c r="J20" s="160">
        <v>15.99</v>
      </c>
      <c r="K20" s="127">
        <f t="shared" si="1"/>
        <v>0</v>
      </c>
      <c r="L20" s="200">
        <f t="shared" si="1"/>
        <v>2318550</v>
      </c>
      <c r="M20" s="196">
        <f t="shared" si="2"/>
        <v>2.53819915649773</v>
      </c>
      <c r="N20" s="166">
        <v>33.85</v>
      </c>
      <c r="O20" s="170">
        <f t="shared" si="3"/>
        <v>4908250</v>
      </c>
      <c r="P20" s="191">
        <f t="shared" si="4"/>
        <v>2589700</v>
      </c>
      <c r="Q20" s="192">
        <f t="shared" si="5"/>
        <v>4.2111215018924781</v>
      </c>
      <c r="R20" s="215">
        <v>1686751</v>
      </c>
      <c r="S20" s="196">
        <f t="shared" si="6"/>
        <v>4.5790479071693504</v>
      </c>
      <c r="T20" s="200">
        <f t="shared" si="8"/>
        <v>902949</v>
      </c>
      <c r="U20" s="196">
        <f t="shared" si="7"/>
        <v>3.6615342769310675</v>
      </c>
    </row>
    <row r="21" spans="1:21" ht="20.25" customHeight="1">
      <c r="A21" s="350"/>
      <c r="B21" s="133">
        <v>10</v>
      </c>
      <c r="C21" s="135">
        <v>5864</v>
      </c>
      <c r="D21" s="124" t="s">
        <v>398</v>
      </c>
      <c r="E21" s="133" t="s">
        <v>504</v>
      </c>
      <c r="F21" s="103" t="s">
        <v>507</v>
      </c>
      <c r="G21" s="134"/>
      <c r="H21" s="134">
        <v>165000</v>
      </c>
      <c r="I21" s="126"/>
      <c r="J21" s="160">
        <v>24.288</v>
      </c>
      <c r="K21" s="127"/>
      <c r="L21" s="200">
        <f t="shared" si="1"/>
        <v>4007520</v>
      </c>
      <c r="M21" s="196">
        <f t="shared" si="2"/>
        <v>4.3871746926517794</v>
      </c>
      <c r="N21" s="166">
        <v>17.8</v>
      </c>
      <c r="O21" s="170">
        <f t="shared" si="3"/>
        <v>2937000</v>
      </c>
      <c r="P21" s="191">
        <f t="shared" si="4"/>
        <v>-1070520</v>
      </c>
      <c r="Q21" s="192">
        <f t="shared" si="5"/>
        <v>-1.7407768429570747</v>
      </c>
      <c r="R21" s="215">
        <v>-1086422</v>
      </c>
      <c r="S21" s="196">
        <f t="shared" si="6"/>
        <v>-2.9493258847350554</v>
      </c>
      <c r="T21" s="200">
        <f t="shared" si="8"/>
        <v>15902</v>
      </c>
      <c r="U21" s="196">
        <f t="shared" si="7"/>
        <v>6.4483949892804399E-2</v>
      </c>
    </row>
    <row r="22" spans="1:21" ht="20.25" customHeight="1">
      <c r="A22" s="350"/>
      <c r="B22" s="133">
        <v>11</v>
      </c>
      <c r="C22" s="146">
        <v>9933</v>
      </c>
      <c r="D22" s="147" t="s">
        <v>437</v>
      </c>
      <c r="E22" s="211" t="s">
        <v>505</v>
      </c>
      <c r="F22" s="119" t="s">
        <v>507</v>
      </c>
      <c r="G22" s="148"/>
      <c r="H22" s="148">
        <v>175000</v>
      </c>
      <c r="I22" s="149"/>
      <c r="J22" s="161">
        <v>21.297000000000001</v>
      </c>
      <c r="K22" s="150">
        <f>I22*G22</f>
        <v>0</v>
      </c>
      <c r="L22" s="207">
        <f>J22*H22</f>
        <v>3726975</v>
      </c>
      <c r="M22" s="196">
        <f t="shared" si="2"/>
        <v>4.0800521020845482</v>
      </c>
      <c r="N22" s="167">
        <v>45.3</v>
      </c>
      <c r="O22" s="171">
        <f t="shared" si="3"/>
        <v>7927500</v>
      </c>
      <c r="P22" s="191">
        <f t="shared" si="4"/>
        <v>4200525</v>
      </c>
      <c r="Q22" s="192">
        <f t="shared" si="5"/>
        <v>6.830490460955672</v>
      </c>
      <c r="R22" s="216">
        <v>2735118</v>
      </c>
      <c r="S22" s="196">
        <f t="shared" si="6"/>
        <v>7.4250653201102104</v>
      </c>
      <c r="T22" s="200">
        <f t="shared" si="8"/>
        <v>1465407</v>
      </c>
      <c r="U22" s="196">
        <f t="shared" si="7"/>
        <v>5.9423488592985043</v>
      </c>
    </row>
    <row r="23" spans="1:21" ht="20.25" customHeight="1">
      <c r="A23" s="350"/>
      <c r="B23" s="133">
        <v>12</v>
      </c>
      <c r="C23" s="146"/>
      <c r="D23" s="147"/>
      <c r="E23" s="211"/>
      <c r="F23" s="119"/>
      <c r="G23" s="148"/>
      <c r="H23" s="148"/>
      <c r="I23" s="149"/>
      <c r="J23" s="161"/>
      <c r="K23" s="150"/>
      <c r="L23" s="207"/>
      <c r="M23" s="244"/>
      <c r="N23" s="167"/>
      <c r="O23" s="171"/>
      <c r="P23" s="245"/>
      <c r="Q23" s="246"/>
      <c r="R23" s="216"/>
      <c r="S23" s="244"/>
      <c r="T23" s="207"/>
      <c r="U23" s="244"/>
    </row>
    <row r="24" spans="1:21" ht="20.25" customHeight="1">
      <c r="A24" s="350"/>
      <c r="B24" s="133">
        <v>13</v>
      </c>
      <c r="C24" s="146"/>
      <c r="D24" s="147"/>
      <c r="E24" s="211"/>
      <c r="F24" s="119"/>
      <c r="G24" s="148"/>
      <c r="H24" s="148"/>
      <c r="I24" s="149"/>
      <c r="J24" s="161"/>
      <c r="K24" s="150"/>
      <c r="L24" s="207"/>
      <c r="M24" s="244"/>
      <c r="N24" s="167"/>
      <c r="O24" s="171"/>
      <c r="P24" s="245"/>
      <c r="Q24" s="246"/>
      <c r="R24" s="216"/>
      <c r="S24" s="244"/>
      <c r="T24" s="207"/>
      <c r="U24" s="244"/>
    </row>
    <row r="25" spans="1:21" ht="20.25" customHeight="1">
      <c r="A25" s="350"/>
      <c r="B25" s="133">
        <v>14</v>
      </c>
      <c r="C25" s="146"/>
      <c r="D25" s="147"/>
      <c r="E25" s="211"/>
      <c r="F25" s="119"/>
      <c r="G25" s="148"/>
      <c r="H25" s="148"/>
      <c r="I25" s="149"/>
      <c r="J25" s="161"/>
      <c r="K25" s="150"/>
      <c r="L25" s="207"/>
      <c r="M25" s="244"/>
      <c r="N25" s="167"/>
      <c r="O25" s="171"/>
      <c r="P25" s="245"/>
      <c r="Q25" s="246"/>
      <c r="R25" s="216"/>
      <c r="S25" s="244"/>
      <c r="T25" s="207"/>
      <c r="U25" s="244"/>
    </row>
    <row r="26" spans="1:21" ht="20.25" customHeight="1">
      <c r="A26" s="350"/>
      <c r="B26" s="133">
        <v>15</v>
      </c>
      <c r="C26" s="146"/>
      <c r="D26" s="147"/>
      <c r="E26" s="211"/>
      <c r="F26" s="119"/>
      <c r="G26" s="148"/>
      <c r="H26" s="148"/>
      <c r="I26" s="149"/>
      <c r="J26" s="161"/>
      <c r="K26" s="150"/>
      <c r="L26" s="207"/>
      <c r="M26" s="244"/>
      <c r="N26" s="167"/>
      <c r="O26" s="171"/>
      <c r="P26" s="245"/>
      <c r="Q26" s="246"/>
      <c r="R26" s="216"/>
      <c r="S26" s="244"/>
      <c r="T26" s="207"/>
      <c r="U26" s="244"/>
    </row>
    <row r="27" spans="1:21" ht="20.25" customHeight="1">
      <c r="A27" s="416"/>
      <c r="B27" s="133">
        <v>16</v>
      </c>
      <c r="C27" s="146"/>
      <c r="D27" s="147"/>
      <c r="E27" s="211"/>
      <c r="F27" s="119"/>
      <c r="G27" s="148"/>
      <c r="H27" s="148"/>
      <c r="I27" s="149"/>
      <c r="J27" s="161"/>
      <c r="K27" s="150"/>
      <c r="L27" s="207"/>
      <c r="M27" s="244"/>
      <c r="N27" s="167"/>
      <c r="O27" s="171"/>
      <c r="P27" s="245"/>
      <c r="Q27" s="246"/>
      <c r="R27" s="216"/>
      <c r="S27" s="244"/>
      <c r="T27" s="207"/>
      <c r="U27" s="244"/>
    </row>
    <row r="28" spans="1:21" ht="20.25" customHeight="1">
      <c r="A28" s="350" t="s">
        <v>572</v>
      </c>
      <c r="B28" s="133">
        <v>1</v>
      </c>
      <c r="C28" s="146" t="s">
        <v>573</v>
      </c>
      <c r="D28" s="147" t="s">
        <v>574</v>
      </c>
      <c r="E28" s="211"/>
      <c r="F28" s="119"/>
      <c r="G28" s="148"/>
      <c r="H28" s="148">
        <v>8500</v>
      </c>
      <c r="I28" s="149"/>
      <c r="J28" s="287">
        <v>2296.02</v>
      </c>
      <c r="K28" s="150"/>
      <c r="L28" s="207">
        <f>H28*J28</f>
        <v>19516170</v>
      </c>
      <c r="M28" s="244"/>
      <c r="N28" s="167">
        <v>2409</v>
      </c>
      <c r="O28" s="171">
        <f>N28*H28</f>
        <v>20476500</v>
      </c>
      <c r="P28" s="245">
        <f>O28-L28</f>
        <v>960330</v>
      </c>
      <c r="Q28" s="246"/>
      <c r="R28" s="216"/>
      <c r="S28" s="244"/>
      <c r="T28" s="207"/>
      <c r="U28" s="244"/>
    </row>
    <row r="29" spans="1:21" ht="17.25" thickBot="1">
      <c r="A29" s="351"/>
      <c r="B29" s="151">
        <v>2</v>
      </c>
      <c r="C29" s="152"/>
      <c r="D29" s="153"/>
      <c r="E29" s="154"/>
      <c r="F29" s="154"/>
      <c r="G29" s="155"/>
      <c r="H29" s="155"/>
      <c r="I29" s="156"/>
      <c r="J29" s="157"/>
      <c r="K29" s="158"/>
      <c r="L29" s="201"/>
      <c r="M29" s="202"/>
      <c r="N29" s="159"/>
      <c r="O29" s="172"/>
      <c r="P29" s="266"/>
      <c r="Q29" s="267"/>
      <c r="R29" s="268"/>
      <c r="S29" s="269"/>
      <c r="T29" s="207"/>
      <c r="U29" s="270"/>
    </row>
    <row r="30" spans="1:21" ht="14.1" customHeight="1">
      <c r="A30" s="334" t="s">
        <v>489</v>
      </c>
      <c r="B30" s="335"/>
      <c r="C30" s="335"/>
      <c r="D30" s="335"/>
      <c r="E30" s="336"/>
      <c r="F30" s="354">
        <f>O30+T32</f>
        <v>165716881.03200001</v>
      </c>
      <c r="G30" s="355">
        <f t="shared" ref="G30:H31" si="9">B19+G21</f>
        <v>8</v>
      </c>
      <c r="H30" s="356">
        <f t="shared" si="9"/>
        <v>167887</v>
      </c>
      <c r="I30" s="219"/>
      <c r="J30" s="366" t="s">
        <v>479</v>
      </c>
      <c r="K30" s="139"/>
      <c r="L30" s="405">
        <f>SUM(L12:L29)-L28</f>
        <v>91346259.96800001</v>
      </c>
      <c r="M30" s="271"/>
      <c r="N30" s="410" t="s">
        <v>517</v>
      </c>
      <c r="O30" s="398">
        <f>SUM(O12:O29)-O28</f>
        <v>141056481</v>
      </c>
      <c r="P30" s="407">
        <f>O30-L30</f>
        <v>49710221.03199999</v>
      </c>
      <c r="Q30" s="408">
        <f>SUM(Q12:Q29)</f>
        <v>80.8339887445198</v>
      </c>
      <c r="R30" s="374">
        <f>SUM(R12:R29)</f>
        <v>36836282</v>
      </c>
      <c r="S30" s="403">
        <f>SUM(S12:S22)</f>
        <v>100</v>
      </c>
      <c r="T30" s="381">
        <f>SUM(T12:T29)</f>
        <v>12873939.032000002</v>
      </c>
      <c r="U30" s="379">
        <f>SUM(U12:U29)</f>
        <v>52.204907524997282</v>
      </c>
    </row>
    <row r="31" spans="1:21" ht="14.1" customHeight="1" thickBot="1">
      <c r="A31" s="337"/>
      <c r="B31" s="338"/>
      <c r="C31" s="338"/>
      <c r="D31" s="338"/>
      <c r="E31" s="339"/>
      <c r="F31" s="357" t="e">
        <f>#REF!+F22</f>
        <v>#REF!</v>
      </c>
      <c r="G31" s="358">
        <f t="shared" si="9"/>
        <v>9</v>
      </c>
      <c r="H31" s="359">
        <f t="shared" si="9"/>
        <v>180410</v>
      </c>
      <c r="I31" s="219"/>
      <c r="J31" s="367"/>
      <c r="K31" s="139"/>
      <c r="L31" s="406"/>
      <c r="M31" s="272"/>
      <c r="N31" s="411"/>
      <c r="O31" s="399"/>
      <c r="P31" s="385"/>
      <c r="Q31" s="409"/>
      <c r="R31" s="375"/>
      <c r="S31" s="404"/>
      <c r="T31" s="382"/>
      <c r="U31" s="380"/>
    </row>
    <row r="32" spans="1:21" ht="13.7" customHeight="1">
      <c r="A32" s="340" t="s">
        <v>490</v>
      </c>
      <c r="B32" s="341"/>
      <c r="C32" s="341"/>
      <c r="D32" s="341"/>
      <c r="E32" s="342"/>
      <c r="F32" s="360">
        <f>T35/L30</f>
        <v>1.8141616426337888</v>
      </c>
      <c r="G32" s="361"/>
      <c r="H32" s="362"/>
      <c r="I32" s="220"/>
      <c r="J32" s="352" t="s">
        <v>509</v>
      </c>
      <c r="K32" s="7"/>
      <c r="L32" s="247"/>
      <c r="M32" s="273"/>
      <c r="N32" s="412" t="s">
        <v>518</v>
      </c>
      <c r="O32" s="414">
        <v>150815890</v>
      </c>
      <c r="P32" s="384">
        <f>P30+P11</f>
        <v>61496682.03199999</v>
      </c>
      <c r="Q32" s="386">
        <f>Q30+Q11</f>
        <v>100.00000000000003</v>
      </c>
      <c r="R32" s="370">
        <f>R30</f>
        <v>36836282</v>
      </c>
      <c r="S32" s="280" t="s">
        <v>491</v>
      </c>
      <c r="T32" s="372">
        <f>T30+T11</f>
        <v>24660400.032000002</v>
      </c>
      <c r="U32" s="281" t="s">
        <v>492</v>
      </c>
    </row>
    <row r="33" spans="1:21" ht="15.75" customHeight="1" thickBot="1">
      <c r="A33" s="343"/>
      <c r="B33" s="344"/>
      <c r="C33" s="344"/>
      <c r="D33" s="344"/>
      <c r="E33" s="345"/>
      <c r="F33" s="363"/>
      <c r="G33" s="364"/>
      <c r="H33" s="365"/>
      <c r="I33" s="220"/>
      <c r="J33" s="353"/>
      <c r="K33" s="7"/>
      <c r="L33" s="248"/>
      <c r="M33" s="274"/>
      <c r="N33" s="413"/>
      <c r="O33" s="415"/>
      <c r="P33" s="385"/>
      <c r="Q33" s="387"/>
      <c r="R33" s="371"/>
      <c r="S33" s="282">
        <f>R32/P32*100</f>
        <v>59.899625122591374</v>
      </c>
      <c r="T33" s="373"/>
      <c r="U33" s="283">
        <f>T32/P32*100</f>
        <v>40.100374877408647</v>
      </c>
    </row>
    <row r="34" spans="1:21" hidden="1">
      <c r="B34" s="7"/>
      <c r="C34" s="7"/>
      <c r="D34" s="140"/>
      <c r="E34" s="7"/>
      <c r="F34" s="7"/>
      <c r="G34" s="7"/>
      <c r="H34" s="7"/>
      <c r="I34" s="7"/>
      <c r="J34" s="7"/>
      <c r="K34" s="7"/>
      <c r="L34" s="141"/>
      <c r="M34" s="141"/>
      <c r="N34" s="275"/>
      <c r="O34" s="276"/>
      <c r="P34" s="277"/>
      <c r="Q34" s="274"/>
      <c r="R34" s="186"/>
      <c r="S34" s="187"/>
      <c r="T34" s="278"/>
      <c r="U34" s="279"/>
    </row>
    <row r="35" spans="1:21" hidden="1">
      <c r="B35" s="7"/>
      <c r="C35" s="7"/>
      <c r="D35" s="140"/>
      <c r="E35" s="7"/>
      <c r="F35" s="7"/>
      <c r="G35" s="7"/>
      <c r="H35" s="7"/>
      <c r="I35" s="7"/>
      <c r="J35" s="7"/>
      <c r="K35" s="7"/>
      <c r="L35" s="141"/>
      <c r="M35" s="141"/>
      <c r="N35" s="142"/>
      <c r="O35" s="173"/>
      <c r="P35" s="400" t="s">
        <v>489</v>
      </c>
      <c r="Q35" s="401"/>
      <c r="R35" s="401"/>
      <c r="S35" s="402"/>
      <c r="T35" s="221">
        <f>O30+T32</f>
        <v>165716881.03200001</v>
      </c>
      <c r="U35" s="141"/>
    </row>
    <row r="36" spans="1:21" hidden="1">
      <c r="B36" s="7"/>
      <c r="C36" s="7"/>
      <c r="D36" s="140"/>
      <c r="E36" s="7"/>
      <c r="F36" s="7"/>
      <c r="G36" s="7"/>
      <c r="H36" s="7"/>
      <c r="I36" s="7"/>
      <c r="J36" s="7"/>
      <c r="K36" s="7"/>
      <c r="L36" s="141"/>
      <c r="M36" s="141"/>
      <c r="N36" s="142"/>
      <c r="O36" s="173"/>
      <c r="P36" s="400" t="s">
        <v>490</v>
      </c>
      <c r="Q36" s="401"/>
      <c r="R36" s="401"/>
      <c r="S36" s="402"/>
      <c r="T36" s="222">
        <f>T35/L30</f>
        <v>1.8141616426337888</v>
      </c>
      <c r="U36" s="141"/>
    </row>
    <row r="37" spans="1:21" ht="23.25" customHeight="1">
      <c r="A37" s="143" t="s">
        <v>516</v>
      </c>
      <c r="D37" s="174"/>
      <c r="L37" s="175"/>
      <c r="M37" s="175"/>
      <c r="N37" s="176"/>
      <c r="O37" s="175"/>
      <c r="P37" s="177"/>
      <c r="Q37" s="177"/>
      <c r="R37" s="178"/>
      <c r="S37" s="178"/>
      <c r="T37" s="145" t="s">
        <v>399</v>
      </c>
      <c r="U37" s="175"/>
    </row>
    <row r="38" spans="1:21">
      <c r="C38" s="144"/>
    </row>
    <row r="39" spans="1:21">
      <c r="A39" s="143"/>
      <c r="C39" s="144"/>
      <c r="U39" s="145"/>
    </row>
    <row r="41" spans="1:21">
      <c r="B41" s="143"/>
    </row>
    <row r="42" spans="1:21" hidden="1"/>
    <row r="43" spans="1:21" hidden="1">
      <c r="B43" s="143" t="s">
        <v>487</v>
      </c>
    </row>
    <row r="44" spans="1:21" hidden="1">
      <c r="B44" s="143" t="s">
        <v>488</v>
      </c>
    </row>
  </sheetData>
  <mergeCells count="37">
    <mergeCell ref="P36:S36"/>
    <mergeCell ref="S30:S31"/>
    <mergeCell ref="T30:T31"/>
    <mergeCell ref="P32:P33"/>
    <mergeCell ref="Q32:Q33"/>
    <mergeCell ref="P30:P31"/>
    <mergeCell ref="Q30:Q31"/>
    <mergeCell ref="R32:R33"/>
    <mergeCell ref="T32:T33"/>
    <mergeCell ref="P35:S35"/>
    <mergeCell ref="J32:J33"/>
    <mergeCell ref="N32:N33"/>
    <mergeCell ref="O32:O33"/>
    <mergeCell ref="L30:L31"/>
    <mergeCell ref="N30:N31"/>
    <mergeCell ref="O30:O31"/>
    <mergeCell ref="A6:A11"/>
    <mergeCell ref="A28:A29"/>
    <mergeCell ref="A12:A27"/>
    <mergeCell ref="A32:E33"/>
    <mergeCell ref="F32:H33"/>
    <mergeCell ref="T3:U3"/>
    <mergeCell ref="E4:F4"/>
    <mergeCell ref="H4:O4"/>
    <mergeCell ref="P4:U4"/>
    <mergeCell ref="J30:J31"/>
    <mergeCell ref="E3:F3"/>
    <mergeCell ref="L3:M3"/>
    <mergeCell ref="P3:Q3"/>
    <mergeCell ref="R3:S3"/>
    <mergeCell ref="U30:U31"/>
    <mergeCell ref="R30:R31"/>
    <mergeCell ref="A30:E31"/>
    <mergeCell ref="F30:H31"/>
    <mergeCell ref="B5:C5"/>
    <mergeCell ref="H5:I5"/>
    <mergeCell ref="J5:K5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3"/>
  <sheetViews>
    <sheetView view="pageBreakPreview" zoomScaleNormal="85" zoomScaleSheetLayoutView="100" workbookViewId="0">
      <selection activeCell="I25" sqref="I25"/>
    </sheetView>
  </sheetViews>
  <sheetFormatPr defaultRowHeight="16.5"/>
  <cols>
    <col min="1" max="1" width="4.5" style="28" customWidth="1"/>
    <col min="2" max="2" width="8" customWidth="1"/>
    <col min="3" max="3" width="11.125" customWidth="1"/>
    <col min="4" max="4" width="11.25" customWidth="1"/>
    <col min="5" max="5" width="11.125" customWidth="1"/>
    <col min="6" max="7" width="11.75" customWidth="1"/>
    <col min="8" max="8" width="11.5" customWidth="1"/>
    <col min="9" max="12" width="11.75" customWidth="1"/>
  </cols>
  <sheetData>
    <row r="1" spans="1:12">
      <c r="A1" s="438" t="s">
        <v>454</v>
      </c>
      <c r="B1" s="439"/>
      <c r="C1" s="1" t="s">
        <v>41</v>
      </c>
      <c r="D1" s="1" t="s">
        <v>42</v>
      </c>
      <c r="E1" s="1" t="s">
        <v>455</v>
      </c>
      <c r="F1" s="1" t="s">
        <v>456</v>
      </c>
      <c r="G1" s="1" t="s">
        <v>457</v>
      </c>
      <c r="H1" s="1" t="s">
        <v>425</v>
      </c>
      <c r="I1" s="1" t="s">
        <v>458</v>
      </c>
      <c r="J1" s="1" t="s">
        <v>459</v>
      </c>
      <c r="K1" s="1" t="s">
        <v>460</v>
      </c>
      <c r="L1" s="1" t="s">
        <v>461</v>
      </c>
    </row>
    <row r="2" spans="1:12" ht="15" customHeight="1">
      <c r="A2" s="3" t="s">
        <v>0</v>
      </c>
      <c r="B2" s="4" t="s">
        <v>1</v>
      </c>
      <c r="C2" s="1" t="s">
        <v>89</v>
      </c>
      <c r="D2" s="1" t="s">
        <v>89</v>
      </c>
      <c r="E2" s="1" t="s">
        <v>89</v>
      </c>
      <c r="F2" s="1" t="s">
        <v>89</v>
      </c>
      <c r="G2" s="1" t="s">
        <v>89</v>
      </c>
      <c r="H2" s="1" t="s">
        <v>89</v>
      </c>
      <c r="I2" s="1" t="s">
        <v>89</v>
      </c>
      <c r="J2" s="1" t="s">
        <v>89</v>
      </c>
      <c r="K2" s="1" t="s">
        <v>89</v>
      </c>
      <c r="L2" s="1" t="s">
        <v>89</v>
      </c>
    </row>
    <row r="3" spans="1:12" ht="15" customHeight="1">
      <c r="A3" s="6" t="s">
        <v>3</v>
      </c>
      <c r="B3" s="7" t="s">
        <v>4</v>
      </c>
      <c r="C3" s="8" t="s">
        <v>462</v>
      </c>
      <c r="D3" s="8" t="s">
        <v>462</v>
      </c>
      <c r="E3" s="8" t="s">
        <v>462</v>
      </c>
      <c r="F3" s="8" t="s">
        <v>462</v>
      </c>
      <c r="G3" s="8" t="s">
        <v>462</v>
      </c>
      <c r="H3" s="8" t="s">
        <v>462</v>
      </c>
      <c r="I3" s="8" t="s">
        <v>462</v>
      </c>
      <c r="J3" s="8" t="s">
        <v>462</v>
      </c>
      <c r="K3" s="8" t="s">
        <v>462</v>
      </c>
      <c r="L3" s="8" t="s">
        <v>462</v>
      </c>
    </row>
    <row r="4" spans="1:12" ht="15" customHeight="1">
      <c r="A4" s="6" t="s">
        <v>5</v>
      </c>
      <c r="B4" s="7" t="s">
        <v>6</v>
      </c>
      <c r="C4" s="29">
        <v>77.400000000000006</v>
      </c>
      <c r="D4" s="29">
        <v>77.3</v>
      </c>
      <c r="E4" s="30">
        <v>77.2</v>
      </c>
      <c r="F4" s="21">
        <v>77.099999999999994</v>
      </c>
      <c r="G4" s="30">
        <v>77.05</v>
      </c>
      <c r="H4" s="6">
        <v>77</v>
      </c>
      <c r="I4" s="6">
        <v>76.900000000000006</v>
      </c>
      <c r="J4" s="65">
        <v>76.849999999999994</v>
      </c>
      <c r="K4" s="6">
        <v>76.8</v>
      </c>
      <c r="L4" s="6">
        <v>76.75</v>
      </c>
    </row>
    <row r="5" spans="1:12" ht="15" customHeight="1">
      <c r="A5" s="6" t="s">
        <v>7</v>
      </c>
      <c r="B5" s="7" t="s">
        <v>8</v>
      </c>
      <c r="C5" s="29">
        <v>5</v>
      </c>
      <c r="D5" s="29">
        <v>5</v>
      </c>
      <c r="E5" s="30">
        <v>5</v>
      </c>
      <c r="F5" s="21">
        <v>5</v>
      </c>
      <c r="G5" s="21">
        <v>5</v>
      </c>
      <c r="H5" s="6">
        <v>5</v>
      </c>
      <c r="I5" s="17">
        <v>5</v>
      </c>
      <c r="J5" s="17">
        <v>5</v>
      </c>
      <c r="K5" s="6">
        <v>5</v>
      </c>
      <c r="L5" s="6">
        <v>5</v>
      </c>
    </row>
    <row r="6" spans="1:12" ht="15" customHeight="1">
      <c r="A6" s="6" t="s">
        <v>9</v>
      </c>
      <c r="B6" s="7" t="s">
        <v>10</v>
      </c>
      <c r="C6" s="12">
        <f>ROUNDDOWN(+C4*C5*1000,0)</f>
        <v>387000</v>
      </c>
      <c r="D6" s="12">
        <f t="shared" ref="D6:L6" si="0">ROUNDDOWN(+D4*D5*1000,0)</f>
        <v>386500</v>
      </c>
      <c r="E6" s="12">
        <f t="shared" si="0"/>
        <v>386000</v>
      </c>
      <c r="F6" s="12">
        <f t="shared" si="0"/>
        <v>385500</v>
      </c>
      <c r="G6" s="12">
        <f t="shared" si="0"/>
        <v>385250</v>
      </c>
      <c r="H6" s="12">
        <f t="shared" si="0"/>
        <v>385000</v>
      </c>
      <c r="I6" s="12">
        <f t="shared" si="0"/>
        <v>384500</v>
      </c>
      <c r="J6" s="12">
        <f t="shared" si="0"/>
        <v>384250</v>
      </c>
      <c r="K6" s="12">
        <f t="shared" si="0"/>
        <v>384000</v>
      </c>
      <c r="L6" s="12">
        <f t="shared" si="0"/>
        <v>383750</v>
      </c>
    </row>
    <row r="7" spans="1:12" ht="15" customHeight="1">
      <c r="A7" s="6" t="s">
        <v>11</v>
      </c>
      <c r="B7" s="7" t="s">
        <v>12</v>
      </c>
      <c r="C7" s="15">
        <f>ROUNDDOWN(+C6*0.001425*0.45,0)</f>
        <v>248</v>
      </c>
      <c r="D7" s="15">
        <f t="shared" ref="D7:L7" si="1">ROUNDDOWN(+D6*0.001425*0.45,0)</f>
        <v>247</v>
      </c>
      <c r="E7" s="15">
        <f t="shared" si="1"/>
        <v>247</v>
      </c>
      <c r="F7" s="15">
        <f t="shared" si="1"/>
        <v>247</v>
      </c>
      <c r="G7" s="15">
        <f t="shared" si="1"/>
        <v>247</v>
      </c>
      <c r="H7" s="15">
        <f t="shared" si="1"/>
        <v>246</v>
      </c>
      <c r="I7" s="15">
        <f t="shared" si="1"/>
        <v>246</v>
      </c>
      <c r="J7" s="15">
        <f t="shared" si="1"/>
        <v>246</v>
      </c>
      <c r="K7" s="15">
        <f t="shared" si="1"/>
        <v>246</v>
      </c>
      <c r="L7" s="15">
        <f t="shared" si="1"/>
        <v>246</v>
      </c>
    </row>
    <row r="8" spans="1:12" ht="15" customHeight="1">
      <c r="A8" s="6" t="s">
        <v>13</v>
      </c>
      <c r="B8" s="7" t="s">
        <v>14</v>
      </c>
      <c r="C8" s="15"/>
      <c r="D8" s="15"/>
      <c r="E8" s="15"/>
      <c r="F8" s="15"/>
      <c r="G8" s="15"/>
      <c r="H8" s="41"/>
      <c r="I8" s="41"/>
      <c r="J8" s="40"/>
      <c r="K8" s="12"/>
      <c r="L8" s="12"/>
    </row>
    <row r="9" spans="1:12" ht="15" customHeight="1">
      <c r="A9" s="6" t="s">
        <v>15</v>
      </c>
      <c r="B9" s="16" t="s">
        <v>16</v>
      </c>
      <c r="C9" s="15"/>
      <c r="D9" s="15"/>
      <c r="E9" s="15"/>
      <c r="F9" s="15"/>
      <c r="G9" s="15"/>
      <c r="H9" s="41"/>
      <c r="I9" s="41"/>
      <c r="J9" s="40"/>
      <c r="K9" s="12"/>
      <c r="L9" s="12"/>
    </row>
    <row r="10" spans="1:12" ht="15" customHeight="1">
      <c r="A10" s="6" t="s">
        <v>17</v>
      </c>
      <c r="B10" s="7" t="s">
        <v>18</v>
      </c>
      <c r="C10" s="17">
        <f>SUM(C6:C9)</f>
        <v>387248</v>
      </c>
      <c r="D10" s="17">
        <f>SUM(D6:D9)</f>
        <v>386747</v>
      </c>
      <c r="E10" s="17">
        <f t="shared" ref="E10:G10" si="2">SUM(E6:E9)</f>
        <v>386247</v>
      </c>
      <c r="F10" s="17">
        <f t="shared" si="2"/>
        <v>385747</v>
      </c>
      <c r="G10" s="17">
        <f t="shared" si="2"/>
        <v>385497</v>
      </c>
      <c r="H10" s="17">
        <f>SUM(H6:H9)</f>
        <v>385246</v>
      </c>
      <c r="I10" s="17">
        <f>SUM(I6:I9)</f>
        <v>384746</v>
      </c>
      <c r="J10" s="17">
        <f>SUM(J6:J9)</f>
        <v>384496</v>
      </c>
      <c r="K10" s="17">
        <f t="shared" ref="K10:L10" si="3">SUM(K6:K9)</f>
        <v>384246</v>
      </c>
      <c r="L10" s="17">
        <f t="shared" si="3"/>
        <v>383996</v>
      </c>
    </row>
    <row r="11" spans="1:12" ht="15" customHeight="1">
      <c r="A11" s="6" t="s">
        <v>19</v>
      </c>
      <c r="B11" s="7" t="s">
        <v>20</v>
      </c>
      <c r="C11" s="17">
        <f>+C10</f>
        <v>387248</v>
      </c>
      <c r="D11" s="17">
        <f>+C11+D10</f>
        <v>773995</v>
      </c>
      <c r="E11" s="17">
        <f t="shared" ref="E11:G11" si="4">+D11+E10</f>
        <v>1160242</v>
      </c>
      <c r="F11" s="17">
        <f t="shared" si="4"/>
        <v>1545989</v>
      </c>
      <c r="G11" s="17">
        <f t="shared" si="4"/>
        <v>1931486</v>
      </c>
      <c r="H11" s="17">
        <f>G11+H10</f>
        <v>2316732</v>
      </c>
      <c r="I11" s="17">
        <f>H11+I10</f>
        <v>2701478</v>
      </c>
      <c r="J11" s="17">
        <f>I11+J10</f>
        <v>3085974</v>
      </c>
      <c r="K11" s="17">
        <f t="shared" ref="K11:L11" si="5">+J11+K10</f>
        <v>3470220</v>
      </c>
      <c r="L11" s="17">
        <f t="shared" si="5"/>
        <v>3854216</v>
      </c>
    </row>
    <row r="12" spans="1:12" ht="15" customHeight="1">
      <c r="A12" s="6" t="s">
        <v>21</v>
      </c>
      <c r="B12" s="18" t="s">
        <v>22</v>
      </c>
      <c r="C12" s="19">
        <f>+C5</f>
        <v>5</v>
      </c>
      <c r="D12" s="19">
        <f>+C12+D5</f>
        <v>10</v>
      </c>
      <c r="E12" s="19">
        <f t="shared" ref="E12:H12" si="6">+D12+E5</f>
        <v>15</v>
      </c>
      <c r="F12" s="19">
        <f t="shared" si="6"/>
        <v>20</v>
      </c>
      <c r="G12" s="19">
        <f t="shared" si="6"/>
        <v>25</v>
      </c>
      <c r="H12" s="19">
        <f t="shared" si="6"/>
        <v>30</v>
      </c>
      <c r="I12" s="19">
        <f t="shared" ref="I12" si="7">+H12+I5</f>
        <v>35</v>
      </c>
      <c r="J12" s="19">
        <f t="shared" ref="J12" si="8">+I12+J5</f>
        <v>40</v>
      </c>
      <c r="K12" s="19">
        <f t="shared" ref="K12" si="9">+J12+K5</f>
        <v>45</v>
      </c>
      <c r="L12" s="19">
        <f t="shared" ref="L12" si="10">+K12+L5</f>
        <v>50</v>
      </c>
    </row>
    <row r="13" spans="1:12" ht="15" customHeight="1">
      <c r="A13" s="6" t="s">
        <v>23</v>
      </c>
      <c r="B13" s="7" t="s">
        <v>24</v>
      </c>
      <c r="C13" s="20">
        <f>+C11/C12/1000</f>
        <v>77.449600000000004</v>
      </c>
      <c r="D13" s="20">
        <f>+D11/D12/1000</f>
        <v>77.399500000000003</v>
      </c>
      <c r="E13" s="20">
        <f t="shared" ref="E13:G13" si="11">+E11/E12/1000</f>
        <v>77.349466666666657</v>
      </c>
      <c r="F13" s="20">
        <f t="shared" si="11"/>
        <v>77.299449999999993</v>
      </c>
      <c r="G13" s="20">
        <f t="shared" si="11"/>
        <v>77.259439999999998</v>
      </c>
      <c r="H13" s="44">
        <f>H11/H12/1000</f>
        <v>77.224399999999989</v>
      </c>
      <c r="I13" s="44">
        <f>I11/I12/1000</f>
        <v>77.185085714285719</v>
      </c>
      <c r="J13" s="45">
        <f>J11/J12/1000</f>
        <v>77.149350000000013</v>
      </c>
      <c r="K13" s="45">
        <f t="shared" ref="K13:L13" si="12">K11/K12/1000</f>
        <v>77.116</v>
      </c>
      <c r="L13" s="45">
        <f t="shared" si="12"/>
        <v>77.084320000000005</v>
      </c>
    </row>
    <row r="14" spans="1:12" ht="15" customHeight="1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 ht="15" customHeight="1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38"/>
      <c r="K15" s="6"/>
      <c r="L15" s="22"/>
    </row>
    <row r="16" spans="1:12" ht="15" customHeight="1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38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454</v>
      </c>
      <c r="B18" s="439"/>
      <c r="C18" s="1" t="s">
        <v>463</v>
      </c>
      <c r="D18" s="2" t="s">
        <v>464</v>
      </c>
      <c r="E18" s="2" t="s">
        <v>465</v>
      </c>
      <c r="F18" s="1" t="s">
        <v>469</v>
      </c>
      <c r="G18" s="1" t="s">
        <v>471</v>
      </c>
      <c r="H18" s="1" t="s">
        <v>471</v>
      </c>
      <c r="I18" s="1" t="s">
        <v>465</v>
      </c>
      <c r="J18" s="1" t="s">
        <v>471</v>
      </c>
      <c r="K18" s="1" t="s">
        <v>465</v>
      </c>
      <c r="L18" s="1" t="s">
        <v>465</v>
      </c>
    </row>
    <row r="19" spans="1:12">
      <c r="A19" s="3" t="s">
        <v>0</v>
      </c>
      <c r="B19" s="4" t="s">
        <v>1</v>
      </c>
      <c r="C19" s="1" t="s">
        <v>89</v>
      </c>
      <c r="D19" s="2" t="s">
        <v>196</v>
      </c>
      <c r="E19" s="1" t="s">
        <v>89</v>
      </c>
      <c r="F19" s="1" t="s">
        <v>89</v>
      </c>
      <c r="G19" s="1" t="s">
        <v>89</v>
      </c>
      <c r="H19" s="1" t="s">
        <v>89</v>
      </c>
      <c r="I19" s="1" t="s">
        <v>89</v>
      </c>
      <c r="J19" s="1" t="s">
        <v>89</v>
      </c>
      <c r="K19" s="1" t="s">
        <v>89</v>
      </c>
      <c r="L19" s="1" t="s">
        <v>89</v>
      </c>
    </row>
    <row r="20" spans="1:12">
      <c r="A20" s="6" t="s">
        <v>3</v>
      </c>
      <c r="B20" s="7" t="s">
        <v>4</v>
      </c>
      <c r="C20" s="8" t="s">
        <v>466</v>
      </c>
      <c r="D20" s="8" t="s">
        <v>466</v>
      </c>
      <c r="E20" s="9">
        <v>45421</v>
      </c>
      <c r="F20" s="8" t="s">
        <v>468</v>
      </c>
      <c r="G20" s="8">
        <v>45559</v>
      </c>
      <c r="H20" s="8" t="s">
        <v>472</v>
      </c>
      <c r="I20" s="8" t="s">
        <v>473</v>
      </c>
      <c r="J20" s="8" t="s">
        <v>474</v>
      </c>
      <c r="K20" s="8" t="s">
        <v>475</v>
      </c>
      <c r="L20" s="8" t="s">
        <v>476</v>
      </c>
    </row>
    <row r="21" spans="1:12">
      <c r="A21" s="6" t="s">
        <v>5</v>
      </c>
      <c r="B21" s="7" t="s">
        <v>6</v>
      </c>
      <c r="C21" s="29">
        <v>76.599999999999994</v>
      </c>
      <c r="D21" s="30">
        <v>76.5</v>
      </c>
      <c r="E21" s="6">
        <v>81.75</v>
      </c>
      <c r="F21" s="29">
        <v>-0.7</v>
      </c>
      <c r="G21" s="6">
        <v>84.55</v>
      </c>
      <c r="H21" s="6">
        <v>88.5</v>
      </c>
      <c r="I21" s="6">
        <v>88.8</v>
      </c>
      <c r="J21" s="6">
        <v>89.2</v>
      </c>
      <c r="K21" s="6">
        <v>91.5</v>
      </c>
      <c r="L21" s="6">
        <v>92.45</v>
      </c>
    </row>
    <row r="22" spans="1:12">
      <c r="A22" s="6" t="s">
        <v>7</v>
      </c>
      <c r="B22" s="7" t="s">
        <v>8</v>
      </c>
      <c r="C22" s="30">
        <v>10</v>
      </c>
      <c r="D22" s="30">
        <v>10</v>
      </c>
      <c r="E22" s="30">
        <v>-10</v>
      </c>
      <c r="F22" s="30">
        <v>60</v>
      </c>
      <c r="G22" s="30">
        <v>-10</v>
      </c>
      <c r="H22" s="30">
        <v>-10</v>
      </c>
      <c r="I22" s="6">
        <v>-8</v>
      </c>
      <c r="J22" s="6">
        <v>-12</v>
      </c>
      <c r="K22" s="6">
        <v>-10</v>
      </c>
      <c r="L22" s="6">
        <v>-10</v>
      </c>
    </row>
    <row r="23" spans="1:12">
      <c r="A23" s="6" t="s">
        <v>9</v>
      </c>
      <c r="B23" s="7" t="s">
        <v>10</v>
      </c>
      <c r="C23" s="12">
        <f>ROUNDDOWN(+C21*C22*1000,0)</f>
        <v>766000</v>
      </c>
      <c r="D23" s="12">
        <f t="shared" ref="D23:G23" si="13">ROUNDDOWN(+D21*D22*1000,0)</f>
        <v>765000</v>
      </c>
      <c r="E23" s="12">
        <f t="shared" si="13"/>
        <v>-817500</v>
      </c>
      <c r="F23" s="12">
        <f t="shared" si="13"/>
        <v>-42000</v>
      </c>
      <c r="G23" s="12">
        <f t="shared" si="13"/>
        <v>-845500</v>
      </c>
      <c r="H23" s="12">
        <f t="shared" ref="H23" si="14">ROUNDDOWN(+H21*H22*1000,0)</f>
        <v>-885000</v>
      </c>
      <c r="I23" s="12">
        <f t="shared" ref="I23" si="15">ROUNDDOWN(+I21*I22*1000,0)</f>
        <v>-710400</v>
      </c>
      <c r="J23" s="12">
        <f t="shared" ref="J23:K23" si="16">ROUNDDOWN(+J21*J22*1000,0)</f>
        <v>-1070400</v>
      </c>
      <c r="K23" s="12">
        <f t="shared" si="16"/>
        <v>-915000</v>
      </c>
      <c r="L23" s="12">
        <f t="shared" ref="L23" si="17">ROUNDDOWN(+L21*L22*1000,0)</f>
        <v>-924500</v>
      </c>
    </row>
    <row r="24" spans="1:12">
      <c r="A24" s="6" t="s">
        <v>11</v>
      </c>
      <c r="B24" s="7" t="s">
        <v>12</v>
      </c>
      <c r="C24" s="15">
        <f>ROUNDDOWN((+C23*0.001425*0.45),0)</f>
        <v>491</v>
      </c>
      <c r="D24" s="15">
        <f t="shared" ref="D24" si="18">ROUNDDOWN((+D23*0.001425*0.45),0)</f>
        <v>490</v>
      </c>
      <c r="E24" s="15">
        <f>ROUNDDOWN(-(+E23*0.001425*0.45),0)</f>
        <v>524</v>
      </c>
      <c r="F24" s="15">
        <v>10</v>
      </c>
      <c r="G24" s="15">
        <f>ROUNDDOWN((ABS(G23)*0.001425*0.45),0)</f>
        <v>542</v>
      </c>
      <c r="H24" s="15">
        <f t="shared" ref="H24:L24" si="19">ROUNDDOWN((ABS(H23)*0.001425*0.45),0)</f>
        <v>567</v>
      </c>
      <c r="I24" s="15">
        <f t="shared" si="19"/>
        <v>455</v>
      </c>
      <c r="J24" s="15">
        <f t="shared" si="19"/>
        <v>686</v>
      </c>
      <c r="K24" s="15">
        <f t="shared" si="19"/>
        <v>586</v>
      </c>
      <c r="L24" s="15">
        <f t="shared" si="19"/>
        <v>592</v>
      </c>
    </row>
    <row r="25" spans="1:12">
      <c r="A25" s="6" t="s">
        <v>13</v>
      </c>
      <c r="B25" s="7" t="s">
        <v>14</v>
      </c>
      <c r="C25" s="12"/>
      <c r="D25" s="12"/>
      <c r="E25" s="12">
        <f>-ROUNDDOWN(E23*1/1000,0)</f>
        <v>817</v>
      </c>
      <c r="F25" s="12"/>
      <c r="G25" s="12">
        <f>ROUNDDOWN(ABS(G23)*1/1000,0)</f>
        <v>845</v>
      </c>
      <c r="H25" s="12">
        <f>ROUNDDOWN(ABS(H23)*1/1000,0)</f>
        <v>885</v>
      </c>
      <c r="I25" s="12">
        <f t="shared" ref="I25:L25" si="20">ROUNDDOWN(ABS(I23)*1/1000,0)</f>
        <v>710</v>
      </c>
      <c r="J25" s="12">
        <f t="shared" si="20"/>
        <v>1070</v>
      </c>
      <c r="K25" s="12">
        <f t="shared" si="20"/>
        <v>915</v>
      </c>
      <c r="L25" s="12">
        <f t="shared" si="20"/>
        <v>924</v>
      </c>
    </row>
    <row r="26" spans="1:12">
      <c r="A26" s="6" t="s">
        <v>15</v>
      </c>
      <c r="B26" s="16" t="s">
        <v>16</v>
      </c>
      <c r="C26" s="15"/>
      <c r="D26" s="14"/>
      <c r="E26" s="12"/>
      <c r="F26" s="12"/>
      <c r="G26" s="12"/>
      <c r="H26" s="12"/>
      <c r="I26" s="12"/>
      <c r="J26" s="12"/>
      <c r="K26" s="12"/>
      <c r="L26" s="12"/>
    </row>
    <row r="27" spans="1:12">
      <c r="A27" s="6" t="s">
        <v>17</v>
      </c>
      <c r="B27" s="7" t="s">
        <v>18</v>
      </c>
      <c r="C27" s="17">
        <f t="shared" ref="C27:L27" si="21">SUM(C23:C26)</f>
        <v>766491</v>
      </c>
      <c r="D27" s="17">
        <f t="shared" si="21"/>
        <v>765490</v>
      </c>
      <c r="E27" s="17">
        <f t="shared" si="21"/>
        <v>-816159</v>
      </c>
      <c r="F27" s="17">
        <f t="shared" si="21"/>
        <v>-41990</v>
      </c>
      <c r="G27" s="17">
        <f t="shared" si="21"/>
        <v>-844113</v>
      </c>
      <c r="H27" s="17">
        <f t="shared" si="21"/>
        <v>-883548</v>
      </c>
      <c r="I27" s="17">
        <f t="shared" si="21"/>
        <v>-709235</v>
      </c>
      <c r="J27" s="17">
        <f t="shared" si="21"/>
        <v>-1068644</v>
      </c>
      <c r="K27" s="17">
        <f t="shared" si="21"/>
        <v>-913499</v>
      </c>
      <c r="L27" s="17">
        <f t="shared" si="21"/>
        <v>-922984</v>
      </c>
    </row>
    <row r="28" spans="1:12">
      <c r="A28" s="6" t="s">
        <v>19</v>
      </c>
      <c r="B28" s="7" t="s">
        <v>20</v>
      </c>
      <c r="C28" s="17">
        <f>C27+L11</f>
        <v>4620707</v>
      </c>
      <c r="D28" s="17">
        <f t="shared" ref="D28:L28" si="22">+C28+D27</f>
        <v>5386197</v>
      </c>
      <c r="E28" s="17">
        <f t="shared" si="22"/>
        <v>4570038</v>
      </c>
      <c r="F28" s="17">
        <f t="shared" si="22"/>
        <v>4528048</v>
      </c>
      <c r="G28" s="17">
        <f t="shared" si="22"/>
        <v>3683935</v>
      </c>
      <c r="H28" s="17">
        <f t="shared" si="22"/>
        <v>2800387</v>
      </c>
      <c r="I28" s="17">
        <f t="shared" si="22"/>
        <v>2091152</v>
      </c>
      <c r="J28" s="17">
        <f t="shared" si="22"/>
        <v>1022508</v>
      </c>
      <c r="K28" s="17">
        <f t="shared" si="22"/>
        <v>109009</v>
      </c>
      <c r="L28" s="17">
        <f t="shared" si="22"/>
        <v>-813975</v>
      </c>
    </row>
    <row r="29" spans="1:12">
      <c r="A29" s="6" t="s">
        <v>21</v>
      </c>
      <c r="B29" s="18" t="s">
        <v>22</v>
      </c>
      <c r="C29" s="165">
        <f>ROUNDDOWN(L12+C22,3)</f>
        <v>60</v>
      </c>
      <c r="D29" s="165">
        <f t="shared" ref="D29:K29" si="23">+C29+D22</f>
        <v>70</v>
      </c>
      <c r="E29" s="165">
        <f t="shared" si="23"/>
        <v>60</v>
      </c>
      <c r="F29" s="165">
        <v>60</v>
      </c>
      <c r="G29" s="165">
        <f t="shared" si="23"/>
        <v>50</v>
      </c>
      <c r="H29" s="165">
        <f t="shared" si="23"/>
        <v>40</v>
      </c>
      <c r="I29" s="165">
        <f t="shared" si="23"/>
        <v>32</v>
      </c>
      <c r="J29" s="165">
        <f t="shared" si="23"/>
        <v>20</v>
      </c>
      <c r="K29" s="165">
        <f t="shared" si="23"/>
        <v>10</v>
      </c>
      <c r="L29" s="6">
        <v>0</v>
      </c>
    </row>
    <row r="30" spans="1:12">
      <c r="A30" s="6" t="s">
        <v>23</v>
      </c>
      <c r="B30" s="7" t="s">
        <v>24</v>
      </c>
      <c r="C30" s="20">
        <f t="shared" ref="C30:H30" si="24">+C28/C29/1000</f>
        <v>77.011783333333341</v>
      </c>
      <c r="D30" s="20">
        <f t="shared" si="24"/>
        <v>76.94567142857143</v>
      </c>
      <c r="E30" s="20">
        <f t="shared" si="24"/>
        <v>76.167299999999997</v>
      </c>
      <c r="F30" s="20">
        <f t="shared" si="24"/>
        <v>75.467466666666667</v>
      </c>
      <c r="G30" s="20">
        <f t="shared" si="24"/>
        <v>73.678699999999992</v>
      </c>
      <c r="H30" s="20">
        <f t="shared" si="24"/>
        <v>70.009675000000001</v>
      </c>
      <c r="I30" s="20">
        <f t="shared" ref="I30:K30" si="25">+I28/I29/1000</f>
        <v>65.348500000000001</v>
      </c>
      <c r="J30" s="20">
        <f t="shared" si="25"/>
        <v>51.125399999999999</v>
      </c>
      <c r="K30" s="20">
        <f t="shared" si="25"/>
        <v>10.9009</v>
      </c>
      <c r="L30" s="10"/>
    </row>
    <row r="31" spans="1:12">
      <c r="A31" s="6" t="s">
        <v>25</v>
      </c>
      <c r="B31" s="7" t="s">
        <v>26</v>
      </c>
      <c r="C31" s="6"/>
      <c r="D31" s="21"/>
      <c r="E31" s="6" t="s">
        <v>467</v>
      </c>
      <c r="F31" s="6" t="s">
        <v>470</v>
      </c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>
        <v>0.7</v>
      </c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388" t="s">
        <v>477</v>
      </c>
      <c r="L33" s="389"/>
    </row>
  </sheetData>
  <mergeCells count="3">
    <mergeCell ref="A1:B1"/>
    <mergeCell ref="A18:B18"/>
    <mergeCell ref="K33:L33"/>
  </mergeCells>
  <phoneticPr fontId="1" type="noConversion"/>
  <pageMargins left="0.70866141732283472" right="0.70866141732283472" top="0.55118110236220474" bottom="0.35433070866141736" header="0.31496062992125984" footer="0.31496062992125984"/>
  <pageSetup paperSize="9" fitToWidth="0" fitToHeight="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3"/>
  <sheetViews>
    <sheetView zoomScaleNormal="100" workbookViewId="0">
      <selection activeCell="A18" sqref="A18:B18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0"/>
      <c r="B1" s="44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3" t="s">
        <v>0</v>
      </c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6" t="s">
        <v>3</v>
      </c>
      <c r="B3" s="7" t="s">
        <v>4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A4" s="6" t="s">
        <v>5</v>
      </c>
      <c r="B4" s="7" t="s">
        <v>6</v>
      </c>
      <c r="C4" s="29"/>
      <c r="D4" s="29"/>
      <c r="E4" s="30"/>
      <c r="F4" s="21"/>
      <c r="G4" s="30"/>
      <c r="H4" s="6"/>
      <c r="I4" s="6"/>
      <c r="J4" s="6"/>
      <c r="K4" s="6"/>
      <c r="L4" s="6"/>
    </row>
    <row r="5" spans="1:12" ht="17.25" thickBot="1">
      <c r="A5" s="72" t="s">
        <v>7</v>
      </c>
      <c r="B5" s="73" t="s">
        <v>8</v>
      </c>
      <c r="C5" s="74"/>
      <c r="D5" s="74"/>
      <c r="E5" s="90"/>
      <c r="F5" s="91"/>
      <c r="G5" s="91"/>
      <c r="H5" s="72"/>
      <c r="I5" s="102"/>
      <c r="J5" s="72"/>
      <c r="K5" s="72"/>
      <c r="L5" s="72"/>
    </row>
    <row r="6" spans="1:12">
      <c r="A6" s="78" t="s">
        <v>9</v>
      </c>
      <c r="B6" s="79" t="s">
        <v>10</v>
      </c>
      <c r="C6" s="80"/>
      <c r="D6" s="80"/>
      <c r="E6" s="80"/>
      <c r="F6" s="80"/>
      <c r="G6" s="80"/>
      <c r="H6" s="80"/>
      <c r="I6" s="80"/>
      <c r="J6" s="80"/>
      <c r="K6" s="80"/>
      <c r="L6" s="80"/>
    </row>
    <row r="7" spans="1:12">
      <c r="A7" s="32" t="s">
        <v>11</v>
      </c>
      <c r="B7" s="61" t="s">
        <v>12</v>
      </c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1" spans="1:12">
      <c r="A11" s="98" t="s">
        <v>19</v>
      </c>
      <c r="B11" s="99" t="s">
        <v>20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</row>
    <row r="12" spans="1:12">
      <c r="A12" s="6" t="s">
        <v>21</v>
      </c>
      <c r="B12" s="18" t="s">
        <v>22</v>
      </c>
      <c r="C12" s="19"/>
      <c r="D12" s="19"/>
      <c r="E12" s="19"/>
      <c r="F12" s="19"/>
      <c r="G12" s="19"/>
      <c r="H12" s="19"/>
      <c r="I12" s="19"/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/>
      <c r="D13" s="20"/>
      <c r="E13" s="20"/>
      <c r="F13" s="20"/>
      <c r="G13" s="20"/>
      <c r="H13" s="20"/>
      <c r="I13" s="20"/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/>
      <c r="B18" s="441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5"/>
      <c r="G21" s="6"/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/>
      <c r="D22" s="85"/>
      <c r="E22" s="72"/>
      <c r="F22" s="106"/>
      <c r="G22" s="72"/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/>
      <c r="D24" s="33"/>
      <c r="E24" s="33"/>
      <c r="F24" s="33"/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/>
      <c r="D28" s="86"/>
      <c r="E28" s="86"/>
      <c r="F28" s="86"/>
      <c r="G28" s="94"/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/>
      <c r="D29" s="36"/>
      <c r="E29" s="36"/>
      <c r="F29" s="37"/>
      <c r="G29" s="95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6692913385826772" bottom="0.35433070866141736" header="0.39370078740157483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33"/>
  <sheetViews>
    <sheetView workbookViewId="0">
      <selection activeCell="H21" sqref="H21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 ht="17.100000000000001" customHeight="1">
      <c r="A1" s="438"/>
      <c r="B1" s="439"/>
      <c r="C1" s="1"/>
      <c r="D1" s="1"/>
      <c r="E1" s="1"/>
      <c r="F1" s="2"/>
      <c r="G1" s="1"/>
      <c r="H1" s="1"/>
      <c r="I1" s="1"/>
      <c r="J1" s="1"/>
      <c r="K1" s="1"/>
      <c r="L1" s="1"/>
    </row>
    <row r="2" spans="1:12" ht="17.100000000000001" customHeight="1">
      <c r="A2" s="3" t="s">
        <v>0</v>
      </c>
      <c r="B2" s="4" t="s">
        <v>1</v>
      </c>
      <c r="C2" s="5"/>
      <c r="D2" s="1"/>
      <c r="E2" s="1"/>
      <c r="F2" s="2"/>
      <c r="G2" s="1"/>
      <c r="H2" s="1"/>
      <c r="I2" s="1"/>
      <c r="J2" s="1"/>
      <c r="K2" s="1"/>
      <c r="L2" s="1"/>
    </row>
    <row r="3" spans="1:12" ht="17.100000000000001" customHeight="1">
      <c r="A3" s="6" t="s">
        <v>3</v>
      </c>
      <c r="B3" s="7" t="s">
        <v>4</v>
      </c>
      <c r="C3" s="8"/>
      <c r="D3" s="8"/>
      <c r="E3" s="8"/>
      <c r="F3" s="9"/>
      <c r="G3" s="8"/>
      <c r="H3" s="8"/>
      <c r="I3" s="8"/>
      <c r="J3" s="8"/>
      <c r="K3" s="8"/>
      <c r="L3" s="8"/>
    </row>
    <row r="4" spans="1:12" ht="17.100000000000001" customHeight="1">
      <c r="A4" s="6" t="s">
        <v>5</v>
      </c>
      <c r="B4" s="7" t="s">
        <v>6</v>
      </c>
      <c r="C4" s="29"/>
      <c r="D4" s="29"/>
      <c r="E4" s="29"/>
      <c r="F4" s="30"/>
      <c r="G4" s="6"/>
      <c r="H4" s="6"/>
      <c r="I4" s="6"/>
      <c r="J4" s="6"/>
      <c r="K4" s="6"/>
      <c r="L4" s="6"/>
    </row>
    <row r="5" spans="1:12" ht="17.100000000000001" customHeight="1">
      <c r="A5" s="6" t="s">
        <v>7</v>
      </c>
      <c r="B5" s="7" t="s">
        <v>8</v>
      </c>
      <c r="C5" s="29"/>
      <c r="D5" s="29"/>
      <c r="E5" s="29"/>
      <c r="F5" s="21"/>
      <c r="G5" s="6"/>
      <c r="H5" s="6"/>
      <c r="I5" s="6"/>
      <c r="J5" s="6"/>
      <c r="K5" s="6"/>
      <c r="L5" s="6"/>
    </row>
    <row r="6" spans="1:12" ht="17.100000000000001" customHeight="1">
      <c r="A6" s="6" t="s">
        <v>9</v>
      </c>
      <c r="B6" s="7" t="s">
        <v>10</v>
      </c>
      <c r="C6" s="12"/>
      <c r="D6" s="12"/>
      <c r="E6" s="12"/>
      <c r="F6" s="14"/>
      <c r="G6" s="12"/>
      <c r="H6" s="12"/>
      <c r="I6" s="12"/>
      <c r="J6" s="12"/>
      <c r="K6" s="12"/>
      <c r="L6" s="12"/>
    </row>
    <row r="7" spans="1:12" ht="17.100000000000001" customHeight="1">
      <c r="A7" s="6" t="s">
        <v>11</v>
      </c>
      <c r="B7" s="7" t="s">
        <v>12</v>
      </c>
      <c r="C7" s="15"/>
      <c r="D7" s="12"/>
      <c r="E7" s="12"/>
      <c r="F7" s="14"/>
      <c r="G7" s="12"/>
      <c r="H7" s="12"/>
      <c r="I7" s="12"/>
      <c r="J7" s="12"/>
      <c r="K7" s="12"/>
      <c r="L7" s="12"/>
    </row>
    <row r="8" spans="1:12" ht="17.100000000000001" customHeight="1">
      <c r="A8" s="6" t="s">
        <v>13</v>
      </c>
      <c r="B8" s="7" t="s">
        <v>14</v>
      </c>
      <c r="C8" s="15"/>
      <c r="D8" s="12"/>
      <c r="E8" s="12"/>
      <c r="F8" s="14"/>
      <c r="G8" s="12"/>
      <c r="H8" s="12"/>
      <c r="I8" s="12"/>
      <c r="J8" s="12"/>
      <c r="K8" s="12"/>
      <c r="L8" s="12"/>
    </row>
    <row r="9" spans="1:12" ht="17.100000000000001" customHeight="1">
      <c r="A9" s="6" t="s">
        <v>15</v>
      </c>
      <c r="B9" s="16" t="s">
        <v>16</v>
      </c>
      <c r="C9" s="15"/>
      <c r="D9" s="12"/>
      <c r="E9" s="12"/>
      <c r="F9" s="14"/>
      <c r="G9" s="12"/>
      <c r="H9" s="12"/>
      <c r="I9" s="12"/>
      <c r="J9" s="12"/>
      <c r="K9" s="12"/>
      <c r="L9" s="12"/>
    </row>
    <row r="10" spans="1:12" ht="17.100000000000001" customHeight="1">
      <c r="A10" s="6" t="s">
        <v>17</v>
      </c>
      <c r="B10" s="7" t="s">
        <v>18</v>
      </c>
      <c r="C10" s="17"/>
      <c r="D10" s="17"/>
      <c r="E10" s="17"/>
      <c r="F10" s="13"/>
      <c r="G10" s="17"/>
      <c r="H10" s="17"/>
      <c r="I10" s="17"/>
      <c r="J10" s="17"/>
      <c r="K10" s="17"/>
      <c r="L10" s="17"/>
    </row>
    <row r="11" spans="1:12" ht="17.100000000000001" customHeight="1">
      <c r="A11" s="6" t="s">
        <v>19</v>
      </c>
      <c r="B11" s="7" t="s">
        <v>20</v>
      </c>
      <c r="C11" s="17"/>
      <c r="D11" s="17"/>
      <c r="E11" s="17"/>
      <c r="F11" s="13"/>
      <c r="G11" s="17"/>
      <c r="H11" s="17"/>
      <c r="I11" s="17"/>
      <c r="J11" s="17"/>
      <c r="K11" s="17"/>
      <c r="L11" s="17"/>
    </row>
    <row r="12" spans="1:12" ht="17.100000000000001" customHeight="1">
      <c r="A12" s="6" t="s">
        <v>21</v>
      </c>
      <c r="B12" s="18" t="s">
        <v>22</v>
      </c>
      <c r="C12" s="19"/>
      <c r="D12" s="19"/>
      <c r="E12" s="17"/>
      <c r="F12" s="11"/>
      <c r="G12" s="6"/>
      <c r="H12" s="6"/>
      <c r="I12" s="6"/>
      <c r="J12" s="6"/>
      <c r="K12" s="6"/>
      <c r="L12" s="6"/>
    </row>
    <row r="13" spans="1:12" ht="17.100000000000001" customHeight="1">
      <c r="A13" s="6" t="s">
        <v>23</v>
      </c>
      <c r="B13" s="7" t="s">
        <v>24</v>
      </c>
      <c r="C13" s="20"/>
      <c r="D13" s="20"/>
      <c r="E13" s="20"/>
      <c r="F13" s="11"/>
      <c r="G13" s="10"/>
      <c r="H13" s="10"/>
      <c r="I13" s="10"/>
      <c r="J13" s="10"/>
      <c r="K13" s="10"/>
      <c r="L13" s="10"/>
    </row>
    <row r="14" spans="1:12" ht="17.100000000000001" customHeight="1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 ht="17.100000000000001" customHeight="1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6"/>
      <c r="K15" s="6"/>
      <c r="L15" s="22"/>
    </row>
    <row r="16" spans="1:12" ht="17.100000000000001" customHeight="1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6"/>
      <c r="K16" s="6"/>
      <c r="L16" s="23"/>
    </row>
    <row r="17" spans="1:12" ht="6.6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7.100000000000001" customHeight="1">
      <c r="A18" s="438"/>
      <c r="B18" s="439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 ht="17.100000000000001" customHeight="1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 ht="17.100000000000001" customHeight="1">
      <c r="A20" s="6" t="s">
        <v>3</v>
      </c>
      <c r="B20" s="7" t="s">
        <v>4</v>
      </c>
      <c r="C20" s="8"/>
      <c r="D20" s="9"/>
      <c r="E20" s="8"/>
      <c r="F20" s="8"/>
      <c r="G20" s="8"/>
      <c r="H20" s="8"/>
      <c r="I20" s="8"/>
      <c r="J20" s="8"/>
      <c r="K20" s="8"/>
      <c r="L20" s="8"/>
    </row>
    <row r="21" spans="1:12" ht="17.100000000000001" customHeight="1">
      <c r="A21" s="6" t="s">
        <v>5</v>
      </c>
      <c r="B21" s="7" t="s">
        <v>6</v>
      </c>
      <c r="C21" s="10"/>
      <c r="D21" s="11"/>
      <c r="E21" s="6"/>
      <c r="F21" s="10"/>
      <c r="G21" s="6"/>
      <c r="H21" s="6"/>
      <c r="I21" s="6"/>
      <c r="J21" s="6"/>
      <c r="K21" s="6"/>
      <c r="L21" s="6"/>
    </row>
    <row r="22" spans="1:12" ht="17.100000000000001" customHeight="1">
      <c r="A22" s="6" t="s">
        <v>7</v>
      </c>
      <c r="B22" s="7" t="s">
        <v>8</v>
      </c>
      <c r="C22" s="12"/>
      <c r="D22" s="13"/>
      <c r="E22" s="6"/>
      <c r="F22" s="12"/>
      <c r="G22" s="6"/>
      <c r="H22" s="6"/>
      <c r="I22" s="6"/>
      <c r="J22" s="6"/>
      <c r="K22" s="6"/>
      <c r="L22" s="6"/>
    </row>
    <row r="23" spans="1:12" ht="17.100000000000001" customHeight="1">
      <c r="A23" s="6" t="s">
        <v>9</v>
      </c>
      <c r="B23" s="7" t="s">
        <v>10</v>
      </c>
      <c r="C23" s="12"/>
      <c r="D23" s="14"/>
      <c r="E23" s="12"/>
      <c r="F23" s="12"/>
      <c r="G23" s="12"/>
      <c r="H23" s="12"/>
      <c r="I23" s="12"/>
      <c r="J23" s="12"/>
      <c r="K23" s="12"/>
      <c r="L23" s="12"/>
    </row>
    <row r="24" spans="1:12" ht="17.100000000000001" customHeight="1">
      <c r="A24" s="6" t="s">
        <v>11</v>
      </c>
      <c r="B24" s="7" t="s">
        <v>12</v>
      </c>
      <c r="C24" s="15"/>
      <c r="D24" s="14"/>
      <c r="E24" s="12"/>
      <c r="F24" s="12"/>
      <c r="G24" s="12"/>
      <c r="H24" s="12"/>
      <c r="I24" s="12"/>
      <c r="J24" s="12"/>
      <c r="K24" s="12"/>
      <c r="L24" s="12"/>
    </row>
    <row r="25" spans="1:12" ht="17.100000000000001" customHeight="1">
      <c r="A25" s="6" t="s">
        <v>13</v>
      </c>
      <c r="B25" s="7" t="s">
        <v>14</v>
      </c>
      <c r="C25" s="15"/>
      <c r="D25" s="14"/>
      <c r="E25" s="12"/>
      <c r="F25" s="12"/>
      <c r="G25" s="12"/>
      <c r="H25" s="12"/>
      <c r="I25" s="12"/>
      <c r="J25" s="12"/>
      <c r="K25" s="12"/>
      <c r="L25" s="12"/>
    </row>
    <row r="26" spans="1:12" ht="17.100000000000001" customHeight="1">
      <c r="A26" s="6" t="s">
        <v>15</v>
      </c>
      <c r="B26" s="16" t="s">
        <v>16</v>
      </c>
      <c r="C26" s="15"/>
      <c r="D26" s="14"/>
      <c r="E26" s="12"/>
      <c r="F26" s="12"/>
      <c r="G26" s="12"/>
      <c r="H26" s="12"/>
      <c r="I26" s="12"/>
      <c r="J26" s="12"/>
      <c r="K26" s="12"/>
      <c r="L26" s="12"/>
    </row>
    <row r="27" spans="1:12" ht="17.100000000000001" customHeight="1">
      <c r="A27" s="6" t="s">
        <v>17</v>
      </c>
      <c r="B27" s="7" t="s">
        <v>18</v>
      </c>
      <c r="C27" s="17"/>
      <c r="D27" s="13"/>
      <c r="E27" s="17"/>
      <c r="F27" s="17"/>
      <c r="G27" s="17"/>
      <c r="H27" s="17"/>
      <c r="I27" s="17"/>
      <c r="J27" s="17"/>
      <c r="K27" s="17"/>
      <c r="L27" s="17"/>
    </row>
    <row r="28" spans="1:12" ht="17.100000000000001" customHeight="1">
      <c r="A28" s="6" t="s">
        <v>19</v>
      </c>
      <c r="B28" s="7" t="s">
        <v>20</v>
      </c>
      <c r="C28" s="17"/>
      <c r="D28" s="13"/>
      <c r="E28" s="17"/>
      <c r="F28" s="17"/>
      <c r="G28" s="17"/>
      <c r="H28" s="17"/>
      <c r="I28" s="17"/>
      <c r="J28" s="17"/>
      <c r="K28" s="17"/>
      <c r="L28" s="17"/>
    </row>
    <row r="29" spans="1:12" ht="17.100000000000001" customHeight="1">
      <c r="A29" s="6" t="s">
        <v>21</v>
      </c>
      <c r="B29" s="18" t="s">
        <v>22</v>
      </c>
      <c r="C29" s="19"/>
      <c r="D29" s="26"/>
      <c r="E29" s="6"/>
      <c r="F29" s="12"/>
      <c r="G29" s="6"/>
      <c r="H29" s="6"/>
      <c r="I29" s="6"/>
      <c r="J29" s="6"/>
      <c r="K29" s="6"/>
      <c r="L29" s="6"/>
    </row>
    <row r="30" spans="1:12" ht="17.100000000000001" customHeight="1">
      <c r="A30" s="6" t="s">
        <v>23</v>
      </c>
      <c r="B30" s="7" t="s">
        <v>24</v>
      </c>
      <c r="C30" s="20"/>
      <c r="D30" s="27"/>
      <c r="E30" s="10"/>
      <c r="F30" s="10"/>
      <c r="G30" s="10"/>
      <c r="H30" s="10"/>
      <c r="I30" s="10"/>
      <c r="J30" s="10"/>
      <c r="K30" s="10"/>
      <c r="L30" s="10"/>
    </row>
    <row r="31" spans="1:12" ht="17.100000000000001" customHeight="1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 ht="17.100000000000001" customHeight="1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/>
      <c r="L32" s="22"/>
    </row>
    <row r="33" spans="1:12" ht="17.100000000000001" customHeight="1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rintOptions horizontalCentered="1" verticalCentered="1"/>
  <pageMargins left="0.31496062992125984" right="0.31496062992125984" top="0.55118110236220474" bottom="0.15748031496062992" header="0.31496062992125984" footer="0.31496062992125984"/>
  <pageSetup paperSize="9" orientation="landscape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33"/>
  <sheetViews>
    <sheetView zoomScaleNormal="100" workbookViewId="0">
      <selection activeCell="H28" sqref="H28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 ht="17.100000000000001" customHeight="1">
      <c r="A1" s="438" t="s">
        <v>33</v>
      </c>
      <c r="B1" s="439"/>
      <c r="C1" s="1" t="s">
        <v>41</v>
      </c>
      <c r="D1" s="1" t="s">
        <v>42</v>
      </c>
      <c r="E1" s="1" t="s">
        <v>43</v>
      </c>
      <c r="F1" s="2" t="s">
        <v>44</v>
      </c>
      <c r="G1" s="1" t="s">
        <v>45</v>
      </c>
      <c r="H1" s="1" t="s">
        <v>46</v>
      </c>
      <c r="I1" s="1" t="s">
        <v>47</v>
      </c>
      <c r="J1" s="1" t="s">
        <v>62</v>
      </c>
      <c r="K1" s="1" t="s">
        <v>64</v>
      </c>
      <c r="L1" s="1" t="s">
        <v>63</v>
      </c>
    </row>
    <row r="2" spans="1:12" ht="17.100000000000001" customHeight="1">
      <c r="A2" s="3" t="s">
        <v>0</v>
      </c>
      <c r="B2" s="4" t="s">
        <v>1</v>
      </c>
      <c r="C2" s="5" t="s">
        <v>2</v>
      </c>
      <c r="D2" s="1" t="s">
        <v>2</v>
      </c>
      <c r="E2" s="1" t="s">
        <v>2</v>
      </c>
      <c r="F2" s="2" t="s">
        <v>2</v>
      </c>
      <c r="G2" s="1" t="s">
        <v>40</v>
      </c>
      <c r="H2" s="2" t="s">
        <v>40</v>
      </c>
      <c r="I2" s="1" t="s">
        <v>55</v>
      </c>
      <c r="J2" s="1" t="s">
        <v>40</v>
      </c>
      <c r="K2" s="2" t="s">
        <v>40</v>
      </c>
      <c r="L2" s="1" t="s">
        <v>40</v>
      </c>
    </row>
    <row r="3" spans="1:12" ht="17.100000000000001" customHeight="1">
      <c r="A3" s="6" t="s">
        <v>3</v>
      </c>
      <c r="B3" s="7" t="s">
        <v>4</v>
      </c>
      <c r="C3" s="8" t="s">
        <v>53</v>
      </c>
      <c r="D3" s="8" t="s">
        <v>53</v>
      </c>
      <c r="E3" s="8" t="s">
        <v>54</v>
      </c>
      <c r="F3" s="9" t="s">
        <v>54</v>
      </c>
      <c r="G3" s="8" t="s">
        <v>52</v>
      </c>
      <c r="H3" s="8" t="s">
        <v>52</v>
      </c>
      <c r="I3" s="8" t="s">
        <v>56</v>
      </c>
      <c r="J3" s="8" t="s">
        <v>61</v>
      </c>
      <c r="K3" s="8" t="s">
        <v>61</v>
      </c>
      <c r="L3" s="8" t="s">
        <v>61</v>
      </c>
    </row>
    <row r="4" spans="1:12" ht="17.100000000000001" customHeight="1">
      <c r="A4" s="6" t="s">
        <v>5</v>
      </c>
      <c r="B4" s="7" t="s">
        <v>6</v>
      </c>
      <c r="C4" s="29">
        <v>21.05</v>
      </c>
      <c r="D4" s="6">
        <v>21.05</v>
      </c>
      <c r="E4" s="29">
        <v>21</v>
      </c>
      <c r="F4" s="29">
        <v>20.95</v>
      </c>
      <c r="G4" s="30">
        <v>20.95</v>
      </c>
      <c r="H4" s="6">
        <v>20.9</v>
      </c>
      <c r="I4" s="6">
        <v>20.55</v>
      </c>
      <c r="J4" s="6">
        <v>20</v>
      </c>
      <c r="K4" s="6">
        <v>19.850000000000001</v>
      </c>
      <c r="L4" s="6">
        <v>19.600000000000001</v>
      </c>
    </row>
    <row r="5" spans="1:12" ht="17.100000000000001" customHeight="1" thickBot="1">
      <c r="A5" s="72" t="s">
        <v>7</v>
      </c>
      <c r="B5" s="73" t="s">
        <v>8</v>
      </c>
      <c r="C5" s="84">
        <v>25</v>
      </c>
      <c r="D5" s="84">
        <v>25</v>
      </c>
      <c r="E5" s="84">
        <v>50</v>
      </c>
      <c r="F5" s="85">
        <v>38</v>
      </c>
      <c r="G5" s="72">
        <v>20</v>
      </c>
      <c r="H5" s="72">
        <v>50</v>
      </c>
      <c r="I5" s="72">
        <v>20</v>
      </c>
      <c r="J5" s="72">
        <v>5</v>
      </c>
      <c r="K5" s="72">
        <v>5</v>
      </c>
      <c r="L5" s="72">
        <v>5</v>
      </c>
    </row>
    <row r="6" spans="1:12" ht="17.100000000000001" customHeight="1">
      <c r="A6" s="78" t="s">
        <v>9</v>
      </c>
      <c r="B6" s="79" t="s">
        <v>10</v>
      </c>
      <c r="C6" s="80">
        <f>+C4*1000*C5</f>
        <v>526250</v>
      </c>
      <c r="D6" s="80">
        <f t="shared" ref="D6:L6" si="0">+D4*1000*D5</f>
        <v>526250</v>
      </c>
      <c r="E6" s="80">
        <f t="shared" si="0"/>
        <v>1050000</v>
      </c>
      <c r="F6" s="80">
        <f t="shared" si="0"/>
        <v>796100</v>
      </c>
      <c r="G6" s="80">
        <f t="shared" si="0"/>
        <v>419000</v>
      </c>
      <c r="H6" s="80">
        <f t="shared" si="0"/>
        <v>1045000</v>
      </c>
      <c r="I6" s="80">
        <f t="shared" si="0"/>
        <v>411000</v>
      </c>
      <c r="J6" s="80">
        <f t="shared" si="0"/>
        <v>100000</v>
      </c>
      <c r="K6" s="80">
        <f t="shared" si="0"/>
        <v>99250</v>
      </c>
      <c r="L6" s="80">
        <f t="shared" si="0"/>
        <v>98000</v>
      </c>
    </row>
    <row r="7" spans="1:12" ht="17.100000000000001" customHeight="1">
      <c r="A7" s="32" t="s">
        <v>11</v>
      </c>
      <c r="B7" s="61" t="s">
        <v>12</v>
      </c>
      <c r="C7" s="33">
        <f>+C6*0.001425*0.45</f>
        <v>337.45781249999999</v>
      </c>
      <c r="D7" s="33">
        <f t="shared" ref="D7:L7" si="1">+D6*0.001425*0.45</f>
        <v>337.45781249999999</v>
      </c>
      <c r="E7" s="33">
        <f t="shared" si="1"/>
        <v>673.3125</v>
      </c>
      <c r="F7" s="33">
        <f t="shared" si="1"/>
        <v>510.49912500000005</v>
      </c>
      <c r="G7" s="33">
        <f t="shared" si="1"/>
        <v>268.68375000000003</v>
      </c>
      <c r="H7" s="33">
        <f t="shared" si="1"/>
        <v>670.10625000000005</v>
      </c>
      <c r="I7" s="33">
        <f t="shared" si="1"/>
        <v>263.55375000000004</v>
      </c>
      <c r="J7" s="33">
        <f t="shared" si="1"/>
        <v>64.125</v>
      </c>
      <c r="K7" s="33">
        <f t="shared" si="1"/>
        <v>63.644062500000004</v>
      </c>
      <c r="L7" s="33">
        <f t="shared" si="1"/>
        <v>62.842500000000001</v>
      </c>
    </row>
    <row r="8" spans="1:12" ht="17.100000000000001" customHeight="1">
      <c r="A8" s="32" t="s">
        <v>13</v>
      </c>
      <c r="B8" s="61" t="s">
        <v>14</v>
      </c>
      <c r="C8" s="33"/>
      <c r="D8" s="31"/>
      <c r="E8" s="31"/>
      <c r="F8" s="31"/>
      <c r="G8" s="31"/>
      <c r="H8" s="31"/>
      <c r="I8" s="31"/>
      <c r="J8" s="31"/>
      <c r="K8" s="32"/>
      <c r="L8" s="32"/>
    </row>
    <row r="9" spans="1:12" ht="17.100000000000001" customHeight="1">
      <c r="A9" s="32" t="s">
        <v>15</v>
      </c>
      <c r="B9" s="62" t="s">
        <v>16</v>
      </c>
      <c r="C9" s="33"/>
      <c r="D9" s="31"/>
      <c r="E9" s="31"/>
      <c r="F9" s="31"/>
      <c r="G9" s="31"/>
      <c r="H9" s="31"/>
      <c r="I9" s="31"/>
      <c r="J9" s="31"/>
      <c r="K9" s="32"/>
      <c r="L9" s="32"/>
    </row>
    <row r="10" spans="1:12" ht="17.100000000000001" customHeight="1" thickBot="1">
      <c r="A10" s="81" t="s">
        <v>17</v>
      </c>
      <c r="B10" s="82" t="s">
        <v>18</v>
      </c>
      <c r="C10" s="83">
        <f>+C6+C7</f>
        <v>526587.45781249995</v>
      </c>
      <c r="D10" s="83">
        <f t="shared" ref="D10:L10" si="2">+D6+D7</f>
        <v>526587.45781249995</v>
      </c>
      <c r="E10" s="83">
        <f t="shared" si="2"/>
        <v>1050673.3125</v>
      </c>
      <c r="F10" s="83">
        <f t="shared" si="2"/>
        <v>796610.49912499997</v>
      </c>
      <c r="G10" s="83">
        <f t="shared" si="2"/>
        <v>419268.68375000003</v>
      </c>
      <c r="H10" s="83">
        <f t="shared" si="2"/>
        <v>1045670.10625</v>
      </c>
      <c r="I10" s="83">
        <f t="shared" si="2"/>
        <v>411263.55375000002</v>
      </c>
      <c r="J10" s="83">
        <f t="shared" si="2"/>
        <v>100064.125</v>
      </c>
      <c r="K10" s="83">
        <f t="shared" si="2"/>
        <v>99313.644062499996</v>
      </c>
      <c r="L10" s="83">
        <f t="shared" si="2"/>
        <v>98062.842499999999</v>
      </c>
    </row>
    <row r="11" spans="1:12" ht="17.100000000000001" customHeight="1">
      <c r="A11" s="75" t="s">
        <v>19</v>
      </c>
      <c r="B11" s="76" t="s">
        <v>20</v>
      </c>
      <c r="C11" s="77">
        <f>+C10</f>
        <v>526587.45781249995</v>
      </c>
      <c r="D11" s="77">
        <f>+C11+D10</f>
        <v>1053174.9156249999</v>
      </c>
      <c r="E11" s="77">
        <f t="shared" ref="E11:I11" si="3">+D11+E10</f>
        <v>2103848.2281249999</v>
      </c>
      <c r="F11" s="77">
        <f>+E11+F10-1</f>
        <v>2900457.72725</v>
      </c>
      <c r="G11" s="77">
        <f t="shared" si="3"/>
        <v>3319726.4109999998</v>
      </c>
      <c r="H11" s="77">
        <f t="shared" si="3"/>
        <v>4365396.5172499996</v>
      </c>
      <c r="I11" s="77">
        <f t="shared" si="3"/>
        <v>4776660.0709999995</v>
      </c>
      <c r="J11" s="77">
        <f t="shared" ref="J11" si="4">+I11+J10</f>
        <v>4876724.1959999995</v>
      </c>
      <c r="K11" s="77">
        <f t="shared" ref="K11" si="5">+J11+K10</f>
        <v>4976037.8400625</v>
      </c>
      <c r="L11" s="77">
        <f t="shared" ref="L11" si="6">+K11+L10</f>
        <v>5074100.6825625002</v>
      </c>
    </row>
    <row r="12" spans="1:12" ht="17.100000000000001" customHeight="1">
      <c r="A12" s="6" t="s">
        <v>21</v>
      </c>
      <c r="B12" s="18" t="s">
        <v>22</v>
      </c>
      <c r="C12" s="19">
        <f>+C5</f>
        <v>25</v>
      </c>
      <c r="D12" s="19">
        <f>+C12+D5</f>
        <v>50</v>
      </c>
      <c r="E12" s="19">
        <f t="shared" ref="E12:I12" si="7">+D12+E5</f>
        <v>100</v>
      </c>
      <c r="F12" s="19">
        <f t="shared" si="7"/>
        <v>138</v>
      </c>
      <c r="G12" s="19">
        <f t="shared" si="7"/>
        <v>158</v>
      </c>
      <c r="H12" s="19">
        <f t="shared" si="7"/>
        <v>208</v>
      </c>
      <c r="I12" s="19">
        <f t="shared" si="7"/>
        <v>228</v>
      </c>
      <c r="J12" s="19">
        <f t="shared" ref="J12" si="8">+I12+J5</f>
        <v>233</v>
      </c>
      <c r="K12" s="19">
        <f t="shared" ref="K12" si="9">+J12+K5</f>
        <v>238</v>
      </c>
      <c r="L12" s="19">
        <f t="shared" ref="L12" si="10">+K12+L5</f>
        <v>243</v>
      </c>
    </row>
    <row r="13" spans="1:12" ht="17.100000000000001" customHeight="1">
      <c r="A13" s="6" t="s">
        <v>23</v>
      </c>
      <c r="B13" s="7" t="s">
        <v>24</v>
      </c>
      <c r="C13" s="20">
        <f>+C11/C12/1000</f>
        <v>21.063498312499998</v>
      </c>
      <c r="D13" s="20">
        <f t="shared" ref="D13:L13" si="11">+D11/D12/1000</f>
        <v>21.063498312499998</v>
      </c>
      <c r="E13" s="20">
        <f t="shared" si="11"/>
        <v>21.038482281249998</v>
      </c>
      <c r="F13" s="20">
        <f t="shared" si="11"/>
        <v>21.017809617753624</v>
      </c>
      <c r="G13" s="20">
        <f t="shared" si="11"/>
        <v>21.010926651898732</v>
      </c>
      <c r="H13" s="20">
        <f t="shared" si="11"/>
        <v>20.987483256009615</v>
      </c>
      <c r="I13" s="20">
        <f t="shared" si="11"/>
        <v>20.950263469298243</v>
      </c>
      <c r="J13" s="20">
        <f t="shared" si="11"/>
        <v>20.930146763948496</v>
      </c>
      <c r="K13" s="20">
        <f t="shared" si="11"/>
        <v>20.907722017069329</v>
      </c>
      <c r="L13" s="20">
        <f t="shared" si="11"/>
        <v>20.881072767746915</v>
      </c>
    </row>
    <row r="14" spans="1:12" ht="17.100000000000001" customHeight="1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 ht="17.100000000000001" customHeight="1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22"/>
      <c r="K15" s="6"/>
      <c r="L15" s="6"/>
    </row>
    <row r="16" spans="1:12" ht="17.100000000000001" customHeight="1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23"/>
      <c r="K16" s="6"/>
      <c r="L16" s="6"/>
    </row>
    <row r="17" spans="1:12" ht="6.6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7.100000000000001" customHeight="1">
      <c r="A18" s="438" t="s">
        <v>33</v>
      </c>
      <c r="B18" s="439"/>
      <c r="C18" s="1" t="s">
        <v>65</v>
      </c>
      <c r="D18" s="2" t="s">
        <v>66</v>
      </c>
      <c r="E18" s="1" t="s">
        <v>72</v>
      </c>
      <c r="F18" s="1" t="s">
        <v>75</v>
      </c>
      <c r="G18" s="1" t="s">
        <v>83</v>
      </c>
      <c r="H18" s="1" t="s">
        <v>84</v>
      </c>
      <c r="I18" s="1" t="s">
        <v>85</v>
      </c>
      <c r="J18" s="1" t="s">
        <v>86</v>
      </c>
      <c r="K18" s="1"/>
      <c r="L18" s="1"/>
    </row>
    <row r="19" spans="1:12" ht="17.100000000000001" customHeight="1">
      <c r="A19" s="3" t="s">
        <v>0</v>
      </c>
      <c r="B19" s="4" t="s">
        <v>1</v>
      </c>
      <c r="C19" s="5" t="s">
        <v>60</v>
      </c>
      <c r="D19" s="2" t="s">
        <v>67</v>
      </c>
      <c r="E19" s="1" t="s">
        <v>73</v>
      </c>
      <c r="F19" s="1" t="s">
        <v>76</v>
      </c>
      <c r="G19" s="1" t="s">
        <v>78</v>
      </c>
      <c r="H19" s="1" t="s">
        <v>79</v>
      </c>
      <c r="I19" s="1" t="s">
        <v>40</v>
      </c>
      <c r="J19" s="1" t="s">
        <v>40</v>
      </c>
      <c r="K19" s="1"/>
      <c r="L19" s="1"/>
    </row>
    <row r="20" spans="1:12" ht="17.100000000000001" customHeight="1">
      <c r="A20" s="6" t="s">
        <v>3</v>
      </c>
      <c r="B20" s="7" t="s">
        <v>4</v>
      </c>
      <c r="C20" s="8" t="s">
        <v>61</v>
      </c>
      <c r="D20" s="9" t="s">
        <v>68</v>
      </c>
      <c r="E20" s="8" t="s">
        <v>74</v>
      </c>
      <c r="F20" s="8" t="s">
        <v>77</v>
      </c>
      <c r="G20" s="8" t="s">
        <v>80</v>
      </c>
      <c r="H20" s="8" t="s">
        <v>80</v>
      </c>
      <c r="I20" s="8" t="s">
        <v>87</v>
      </c>
      <c r="J20" s="8" t="s">
        <v>87</v>
      </c>
      <c r="K20" s="8"/>
      <c r="L20" s="8"/>
    </row>
    <row r="21" spans="1:12" ht="17.100000000000001" customHeight="1">
      <c r="A21" s="6" t="s">
        <v>5</v>
      </c>
      <c r="B21" s="7" t="s">
        <v>6</v>
      </c>
      <c r="C21" s="29">
        <v>19.45</v>
      </c>
      <c r="D21" s="30">
        <v>19.25</v>
      </c>
      <c r="E21" s="6">
        <v>19.649999999999999</v>
      </c>
      <c r="F21" s="29">
        <v>19.350000000000001</v>
      </c>
      <c r="G21" s="6">
        <v>19.600000000000001</v>
      </c>
      <c r="H21" s="6">
        <v>19.55</v>
      </c>
      <c r="I21" s="6">
        <v>19.5</v>
      </c>
      <c r="J21" s="6">
        <v>19.45</v>
      </c>
      <c r="K21" s="6"/>
      <c r="L21" s="6"/>
    </row>
    <row r="22" spans="1:12" ht="17.100000000000001" customHeight="1" thickBot="1">
      <c r="A22" s="72" t="s">
        <v>7</v>
      </c>
      <c r="B22" s="73" t="s">
        <v>8</v>
      </c>
      <c r="C22" s="74">
        <v>5</v>
      </c>
      <c r="D22" s="91">
        <v>2</v>
      </c>
      <c r="E22" s="72">
        <v>29</v>
      </c>
      <c r="F22" s="74">
        <v>5</v>
      </c>
      <c r="G22" s="72">
        <v>10</v>
      </c>
      <c r="H22" s="72">
        <v>10</v>
      </c>
      <c r="I22" s="72">
        <v>10</v>
      </c>
      <c r="J22" s="72">
        <v>10</v>
      </c>
      <c r="K22" s="72"/>
      <c r="L22" s="72"/>
    </row>
    <row r="23" spans="1:12" ht="17.100000000000001" customHeight="1">
      <c r="A23" s="78" t="s">
        <v>9</v>
      </c>
      <c r="B23" s="79" t="s">
        <v>10</v>
      </c>
      <c r="C23" s="80">
        <f>+C21*1000*C22</f>
        <v>97250</v>
      </c>
      <c r="D23" s="80">
        <f>+D21*1000*D22</f>
        <v>38500</v>
      </c>
      <c r="E23" s="80">
        <f>+E21*1000*E22</f>
        <v>569850</v>
      </c>
      <c r="F23" s="80">
        <f>+F21*1000*F22</f>
        <v>96750</v>
      </c>
      <c r="G23" s="80">
        <f t="shared" ref="G23:J23" si="12">+G21*1000*G22</f>
        <v>196000</v>
      </c>
      <c r="H23" s="80">
        <f t="shared" si="12"/>
        <v>195500</v>
      </c>
      <c r="I23" s="80">
        <f t="shared" si="12"/>
        <v>195000</v>
      </c>
      <c r="J23" s="80">
        <f t="shared" si="12"/>
        <v>194500</v>
      </c>
      <c r="K23" s="80"/>
      <c r="L23" s="80"/>
    </row>
    <row r="24" spans="1:12" ht="17.100000000000001" customHeight="1">
      <c r="A24" s="32" t="s">
        <v>11</v>
      </c>
      <c r="B24" s="61" t="s">
        <v>12</v>
      </c>
      <c r="C24" s="33">
        <f>+C23*0.001425*0.45</f>
        <v>62.361562500000005</v>
      </c>
      <c r="D24" s="33">
        <f>+D23*0.001425*0.45</f>
        <v>24.688125000000003</v>
      </c>
      <c r="E24" s="33">
        <f>+E23*0.001425*0.45</f>
        <v>365.4163125</v>
      </c>
      <c r="F24" s="33">
        <f>+F23*0.001425*0.45</f>
        <v>62.040937500000005</v>
      </c>
      <c r="G24" s="33">
        <f t="shared" ref="G24:H24" si="13">+G23*0.001425*0.45</f>
        <v>125.685</v>
      </c>
      <c r="H24" s="33">
        <f t="shared" si="13"/>
        <v>125.36437500000002</v>
      </c>
      <c r="I24" s="33">
        <f t="shared" ref="I24:J24" si="14">+I23*0.001425*0.45</f>
        <v>125.04375</v>
      </c>
      <c r="J24" s="33">
        <f t="shared" si="14"/>
        <v>124.72312500000001</v>
      </c>
      <c r="K24" s="32"/>
      <c r="L24" s="32"/>
    </row>
    <row r="25" spans="1:12" ht="17.100000000000001" customHeight="1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2"/>
      <c r="L25" s="32"/>
    </row>
    <row r="26" spans="1:12" ht="17.100000000000001" customHeight="1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2"/>
    </row>
    <row r="27" spans="1:12" ht="17.100000000000001" customHeight="1" thickBot="1">
      <c r="A27" s="81" t="s">
        <v>17</v>
      </c>
      <c r="B27" s="82" t="s">
        <v>18</v>
      </c>
      <c r="C27" s="83">
        <f>+C23+C24</f>
        <v>97312.361562499995</v>
      </c>
      <c r="D27" s="83">
        <f>+D23+D24</f>
        <v>38524.688125000001</v>
      </c>
      <c r="E27" s="83">
        <f>+E23+E24</f>
        <v>570215.41631250002</v>
      </c>
      <c r="F27" s="83">
        <f>+F23+F24</f>
        <v>96812.040937500002</v>
      </c>
      <c r="G27" s="83">
        <f t="shared" ref="G27:H27" si="15">+G23+G24</f>
        <v>196125.685</v>
      </c>
      <c r="H27" s="83">
        <f t="shared" si="15"/>
        <v>195625.364375</v>
      </c>
      <c r="I27" s="83">
        <f t="shared" ref="I27:J27" si="16">+I23+I24</f>
        <v>195125.04375000001</v>
      </c>
      <c r="J27" s="83">
        <f t="shared" si="16"/>
        <v>194624.72312499999</v>
      </c>
      <c r="K27" s="83"/>
      <c r="L27" s="83"/>
    </row>
    <row r="28" spans="1:12" ht="17.100000000000001" customHeight="1">
      <c r="A28" s="75" t="s">
        <v>19</v>
      </c>
      <c r="B28" s="76" t="s">
        <v>20</v>
      </c>
      <c r="C28" s="77">
        <f>+L11+C27</f>
        <v>5171413.044125</v>
      </c>
      <c r="D28" s="94">
        <f>+C28+D27</f>
        <v>5209937.7322500004</v>
      </c>
      <c r="E28" s="94">
        <f>+D28+E27</f>
        <v>5780153.1485625003</v>
      </c>
      <c r="F28" s="94">
        <f>+E28+F27</f>
        <v>5876965.1895000003</v>
      </c>
      <c r="G28" s="94">
        <f t="shared" ref="G28:H28" si="17">+F28+G27</f>
        <v>6073090.8744999999</v>
      </c>
      <c r="H28" s="94">
        <f t="shared" si="17"/>
        <v>6268716.2388749998</v>
      </c>
      <c r="I28" s="94">
        <f t="shared" ref="I28" si="18">+H28+I27</f>
        <v>6463841.282625</v>
      </c>
      <c r="J28" s="94">
        <f t="shared" ref="J28" si="19">+I28+J27</f>
        <v>6658466.0057499995</v>
      </c>
      <c r="K28" s="77"/>
      <c r="L28" s="77"/>
    </row>
    <row r="29" spans="1:12" ht="17.100000000000001" customHeight="1">
      <c r="A29" s="6" t="s">
        <v>21</v>
      </c>
      <c r="B29" s="18" t="s">
        <v>22</v>
      </c>
      <c r="C29" s="19">
        <f>+L12+C22</f>
        <v>248</v>
      </c>
      <c r="D29" s="26">
        <f>+C29+D22</f>
        <v>250</v>
      </c>
      <c r="E29" s="26">
        <f>+D29+E22</f>
        <v>279</v>
      </c>
      <c r="F29" s="26">
        <f>+E29+F22</f>
        <v>284</v>
      </c>
      <c r="G29" s="26">
        <f t="shared" ref="G29:H29" si="20">+F29+G22</f>
        <v>294</v>
      </c>
      <c r="H29" s="26">
        <f t="shared" si="20"/>
        <v>304</v>
      </c>
      <c r="I29" s="26">
        <f t="shared" ref="I29" si="21">+H29+I22</f>
        <v>314</v>
      </c>
      <c r="J29" s="26">
        <f t="shared" ref="J29" si="22">+I29+J22</f>
        <v>324</v>
      </c>
      <c r="K29" s="6"/>
      <c r="L29" s="6"/>
    </row>
    <row r="30" spans="1:12" ht="17.100000000000001" customHeight="1">
      <c r="A30" s="6" t="s">
        <v>23</v>
      </c>
      <c r="B30" s="7" t="s">
        <v>24</v>
      </c>
      <c r="C30" s="20">
        <f>+C28/C29/1000</f>
        <v>20.852471952116936</v>
      </c>
      <c r="D30" s="20">
        <f>+D28/D29/1000</f>
        <v>20.839750929000001</v>
      </c>
      <c r="E30" s="20">
        <f>+E28/E29/1000</f>
        <v>20.717394797715055</v>
      </c>
      <c r="F30" s="20">
        <f>+F28/F29/1000</f>
        <v>20.693539399647889</v>
      </c>
      <c r="G30" s="20">
        <f t="shared" ref="G30:H30" si="23">+G28/G29/1000</f>
        <v>20.656771681972792</v>
      </c>
      <c r="H30" s="20">
        <f t="shared" si="23"/>
        <v>20.620777101562499</v>
      </c>
      <c r="I30" s="20">
        <f t="shared" ref="I30:J30" si="24">+I28/I29/1000</f>
        <v>20.585481791799364</v>
      </c>
      <c r="J30" s="20">
        <f t="shared" si="24"/>
        <v>20.550821005401236</v>
      </c>
      <c r="K30" s="20"/>
      <c r="L30" s="10"/>
    </row>
    <row r="31" spans="1:12" ht="17.100000000000001" customHeight="1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 ht="17.100000000000001" customHeight="1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23"/>
      <c r="K32" s="6"/>
      <c r="L32" s="6"/>
    </row>
    <row r="33" spans="1:12" ht="17.100000000000001" customHeight="1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6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31496062992125984" footer="0.31496062992125984"/>
  <pageSetup paperSize="9" orientation="landscape" r:id="rId1"/>
  <headerFooter>
    <oddHeader>&amp;L個股除權息後成本表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4"/>
  <sheetViews>
    <sheetView topLeftCell="A16" zoomScale="85" zoomScaleNormal="85" workbookViewId="0">
      <selection activeCell="O28" sqref="O28:O29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375" customWidth="1"/>
    <col min="15" max="15" width="13.25" customWidth="1"/>
    <col min="16" max="16" width="14.625" customWidth="1"/>
    <col min="17" max="17" width="7.25" customWidth="1"/>
    <col min="18" max="18" width="12.87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579</v>
      </c>
    </row>
    <row r="3" spans="1:23" ht="17.45" customHeight="1">
      <c r="A3" s="7"/>
      <c r="B3" s="72"/>
      <c r="C3" s="72"/>
      <c r="D3" s="72"/>
      <c r="E3" s="388"/>
      <c r="F3" s="389"/>
      <c r="G3" s="72"/>
      <c r="H3" s="72" t="s">
        <v>372</v>
      </c>
      <c r="I3" s="72"/>
      <c r="J3" s="72" t="s">
        <v>373</v>
      </c>
      <c r="K3" s="6"/>
      <c r="L3" s="391" t="s">
        <v>374</v>
      </c>
      <c r="M3" s="392"/>
      <c r="N3" s="120" t="s">
        <v>375</v>
      </c>
      <c r="O3" s="168" t="s">
        <v>376</v>
      </c>
      <c r="P3" s="393" t="s">
        <v>483</v>
      </c>
      <c r="Q3" s="392"/>
      <c r="R3" s="383" t="s">
        <v>484</v>
      </c>
      <c r="S3" s="378"/>
      <c r="T3" s="368" t="s">
        <v>485</v>
      </c>
      <c r="U3" s="369"/>
    </row>
    <row r="4" spans="1:23" ht="18.75" customHeight="1">
      <c r="A4" s="7"/>
      <c r="B4" s="122"/>
      <c r="C4" s="122"/>
      <c r="D4" s="122"/>
      <c r="E4" s="390" t="s">
        <v>493</v>
      </c>
      <c r="F4" s="390"/>
      <c r="G4" s="209"/>
      <c r="H4" s="395" t="s">
        <v>583</v>
      </c>
      <c r="I4" s="396"/>
      <c r="J4" s="396"/>
      <c r="K4" s="396"/>
      <c r="L4" s="396"/>
      <c r="M4" s="396"/>
      <c r="N4" s="396"/>
      <c r="O4" s="397"/>
      <c r="P4" s="376" t="s">
        <v>380</v>
      </c>
      <c r="Q4" s="377"/>
      <c r="R4" s="377"/>
      <c r="S4" s="377"/>
      <c r="T4" s="377"/>
      <c r="U4" s="378"/>
    </row>
    <row r="5" spans="1:23" ht="20.25" customHeight="1">
      <c r="A5" s="7"/>
      <c r="B5" s="383" t="s">
        <v>381</v>
      </c>
      <c r="C5" s="378"/>
      <c r="D5" s="123" t="s">
        <v>382</v>
      </c>
      <c r="E5" s="123" t="s">
        <v>383</v>
      </c>
      <c r="F5" s="123" t="s">
        <v>384</v>
      </c>
      <c r="G5" s="123"/>
      <c r="H5" s="394" t="s">
        <v>377</v>
      </c>
      <c r="I5" s="394"/>
      <c r="J5" s="394" t="s">
        <v>378</v>
      </c>
      <c r="K5" s="394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46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T6/$P$28*100</f>
        <v>1.0663788551943589</v>
      </c>
      <c r="R6" s="250">
        <v>0</v>
      </c>
      <c r="S6" s="251">
        <f>R6/$R$28*100</f>
        <v>0</v>
      </c>
      <c r="T6" s="252">
        <v>813975</v>
      </c>
      <c r="U6" s="253">
        <f>T6/$T$28*100</f>
        <v>3.0643066693450556</v>
      </c>
    </row>
    <row r="7" spans="1:23" ht="20.25" customHeight="1">
      <c r="A7" s="347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 t="shared" ref="Q7:Q8" si="0">T7/$P$28*100</f>
        <v>8.5814037239925653</v>
      </c>
      <c r="R7" s="240">
        <v>0</v>
      </c>
      <c r="S7" s="241">
        <f>R7/$R$28*100</f>
        <v>0</v>
      </c>
      <c r="T7" s="242">
        <v>6550250</v>
      </c>
      <c r="U7" s="243">
        <f>T7/$T$28*100</f>
        <v>24.659202998713042</v>
      </c>
    </row>
    <row r="8" spans="1:23" ht="20.25" customHeight="1">
      <c r="A8" s="347"/>
      <c r="B8" s="121">
        <v>3</v>
      </c>
      <c r="C8" s="135" t="s">
        <v>389</v>
      </c>
      <c r="D8" s="124" t="s">
        <v>390</v>
      </c>
      <c r="E8" s="129"/>
      <c r="F8" s="129"/>
      <c r="G8" s="258"/>
      <c r="H8" s="258"/>
      <c r="I8" s="130"/>
      <c r="J8" s="130"/>
      <c r="K8" s="131"/>
      <c r="L8" s="198"/>
      <c r="M8" s="199"/>
      <c r="N8" s="132"/>
      <c r="O8" s="259"/>
      <c r="P8" s="260">
        <v>4422236</v>
      </c>
      <c r="Q8" s="190">
        <f t="shared" si="0"/>
        <v>5.7935181830882776</v>
      </c>
      <c r="R8" s="262"/>
      <c r="S8" s="241"/>
      <c r="T8" s="286">
        <v>4422236</v>
      </c>
      <c r="U8" s="243">
        <f>T8/$T$28*100</f>
        <v>16.648038659931572</v>
      </c>
    </row>
    <row r="9" spans="1:23" ht="20.25" customHeight="1">
      <c r="A9" s="347"/>
      <c r="B9" s="121">
        <v>4</v>
      </c>
      <c r="C9" s="121"/>
      <c r="D9" s="128"/>
      <c r="E9" s="129"/>
      <c r="F9" s="129"/>
      <c r="G9" s="258"/>
      <c r="H9" s="258"/>
      <c r="I9" s="130"/>
      <c r="J9" s="130"/>
      <c r="K9" s="131"/>
      <c r="L9" s="198"/>
      <c r="M9" s="199"/>
      <c r="N9" s="132"/>
      <c r="O9" s="259"/>
      <c r="P9" s="260"/>
      <c r="Q9" s="261"/>
      <c r="R9" s="262"/>
      <c r="S9" s="263"/>
      <c r="T9" s="264"/>
      <c r="U9" s="265"/>
    </row>
    <row r="10" spans="1:23" ht="20.25" customHeight="1" thickBot="1">
      <c r="A10" s="347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48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SUM(P6:P9)</f>
        <v>11786461</v>
      </c>
      <c r="Q11" s="218">
        <f>T11/$P$28*100</f>
        <v>15.441300762275203</v>
      </c>
      <c r="R11" s="194">
        <f>SUM(R6:R7)</f>
        <v>0</v>
      </c>
      <c r="S11" s="195">
        <f>SUM(S6:S7)</f>
        <v>0</v>
      </c>
      <c r="T11" s="214">
        <f>SUM(T6:T9)</f>
        <v>11786461</v>
      </c>
      <c r="U11" s="213">
        <f>SUM(U6:U8)</f>
        <v>44.371548327989672</v>
      </c>
    </row>
    <row r="12" spans="1:23" ht="20.25" customHeight="1">
      <c r="A12" s="349" t="s">
        <v>513</v>
      </c>
      <c r="B12" s="133">
        <v>1</v>
      </c>
      <c r="C12" s="133" t="s">
        <v>387</v>
      </c>
      <c r="D12" s="124" t="s">
        <v>155</v>
      </c>
      <c r="E12" s="133" t="s">
        <v>586</v>
      </c>
      <c r="F12" s="103">
        <v>0</v>
      </c>
      <c r="G12" s="134"/>
      <c r="H12" s="134">
        <v>100000</v>
      </c>
      <c r="I12" s="126"/>
      <c r="J12" s="160">
        <v>17.984999999999999</v>
      </c>
      <c r="K12" s="127">
        <f t="shared" ref="K12:L21" si="1">I12*G12</f>
        <v>0</v>
      </c>
      <c r="L12" s="200">
        <f t="shared" si="1"/>
        <v>1798500</v>
      </c>
      <c r="M12" s="196">
        <f t="shared" ref="M12:M22" si="2">L12/$L$26*100</f>
        <v>1.9265070924590837</v>
      </c>
      <c r="N12" s="166">
        <v>39.51</v>
      </c>
      <c r="O12" s="170">
        <f t="shared" ref="O12:O22" si="3">ROUND(N12*H12,0)</f>
        <v>3951000</v>
      </c>
      <c r="P12" s="191">
        <f t="shared" ref="P12:P22" si="4">O12-L12</f>
        <v>2152500</v>
      </c>
      <c r="Q12" s="192">
        <f t="shared" ref="Q12:Q22" si="5">P12/$P$28*100</f>
        <v>2.8199643549321016</v>
      </c>
      <c r="R12" s="215">
        <v>1143641</v>
      </c>
      <c r="S12" s="196">
        <f t="shared" ref="S12:S22" si="6">R12/$R$28*100</f>
        <v>2.2979607615365056</v>
      </c>
      <c r="T12" s="200">
        <f>P12-R12</f>
        <v>1008859</v>
      </c>
      <c r="U12" s="196">
        <f t="shared" ref="U12:U22" si="7">T12/$T$28*100</f>
        <v>3.7979708985273302</v>
      </c>
      <c r="W12" s="136"/>
    </row>
    <row r="13" spans="1:23" ht="20.25" customHeight="1">
      <c r="A13" s="350"/>
      <c r="B13" s="133">
        <v>2</v>
      </c>
      <c r="C13" s="133" t="s">
        <v>446</v>
      </c>
      <c r="D13" s="124" t="s">
        <v>447</v>
      </c>
      <c r="E13" s="133" t="s">
        <v>587</v>
      </c>
      <c r="F13" s="103">
        <v>0</v>
      </c>
      <c r="G13" s="134"/>
      <c r="H13" s="134">
        <v>500000</v>
      </c>
      <c r="I13" s="126"/>
      <c r="J13" s="160">
        <v>28.68</v>
      </c>
      <c r="K13" s="127">
        <f>I13*G13</f>
        <v>0</v>
      </c>
      <c r="L13" s="200">
        <f>J13*H13</f>
        <v>14340000</v>
      </c>
      <c r="M13" s="196">
        <f t="shared" si="2"/>
        <v>15.360640370232561</v>
      </c>
      <c r="N13" s="166">
        <v>29.24</v>
      </c>
      <c r="O13" s="170">
        <f t="shared" si="3"/>
        <v>14620000</v>
      </c>
      <c r="P13" s="191">
        <f t="shared" si="4"/>
        <v>280000</v>
      </c>
      <c r="Q13" s="192">
        <f t="shared" si="5"/>
        <v>0.36682463153588313</v>
      </c>
      <c r="R13" s="215">
        <v>-44556</v>
      </c>
      <c r="S13" s="196">
        <f t="shared" si="6"/>
        <v>-8.952804218371023E-2</v>
      </c>
      <c r="T13" s="200">
        <f t="shared" ref="T13:T22" si="8">P13-R13</f>
        <v>324556</v>
      </c>
      <c r="U13" s="196">
        <f t="shared" si="7"/>
        <v>1.2218300505248365</v>
      </c>
    </row>
    <row r="14" spans="1:23" ht="20.25" customHeight="1">
      <c r="A14" s="350"/>
      <c r="B14" s="133">
        <v>3</v>
      </c>
      <c r="C14" s="135" t="s">
        <v>391</v>
      </c>
      <c r="D14" s="124" t="s">
        <v>392</v>
      </c>
      <c r="E14" s="103" t="s">
        <v>498</v>
      </c>
      <c r="F14" s="103" t="s">
        <v>498</v>
      </c>
      <c r="G14" s="134"/>
      <c r="H14" s="134">
        <v>230000</v>
      </c>
      <c r="I14" s="126"/>
      <c r="J14" s="160">
        <v>12.726000000000001</v>
      </c>
      <c r="K14" s="127">
        <f>I14*G14</f>
        <v>0</v>
      </c>
      <c r="L14" s="200">
        <f>J14*H14</f>
        <v>2926980</v>
      </c>
      <c r="M14" s="196">
        <f t="shared" si="2"/>
        <v>3.135305937996046</v>
      </c>
      <c r="N14" s="166">
        <v>21.69</v>
      </c>
      <c r="O14" s="170">
        <f t="shared" si="3"/>
        <v>4988700</v>
      </c>
      <c r="P14" s="191">
        <f t="shared" si="4"/>
        <v>2061720</v>
      </c>
      <c r="Q14" s="192">
        <f t="shared" si="5"/>
        <v>2.7010345690362891</v>
      </c>
      <c r="R14" s="215">
        <v>1648694</v>
      </c>
      <c r="S14" s="196">
        <f t="shared" si="6"/>
        <v>3.3127826999737402</v>
      </c>
      <c r="T14" s="200">
        <f t="shared" si="8"/>
        <v>413026</v>
      </c>
      <c r="U14" s="196">
        <f t="shared" si="7"/>
        <v>1.5548859933203243</v>
      </c>
    </row>
    <row r="15" spans="1:23" ht="20.25" customHeight="1">
      <c r="A15" s="350"/>
      <c r="B15" s="133">
        <v>4</v>
      </c>
      <c r="C15" s="123">
        <v>1216</v>
      </c>
      <c r="D15" s="124" t="s">
        <v>443</v>
      </c>
      <c r="E15" s="133">
        <v>3</v>
      </c>
      <c r="F15" s="103" t="s">
        <v>507</v>
      </c>
      <c r="G15" s="134"/>
      <c r="H15" s="134">
        <v>30000</v>
      </c>
      <c r="I15" s="126"/>
      <c r="J15" s="160">
        <v>67.742999999999995</v>
      </c>
      <c r="K15" s="127"/>
      <c r="L15" s="200">
        <f>J15*H15</f>
        <v>2032289.9999999998</v>
      </c>
      <c r="M15" s="196">
        <f t="shared" si="2"/>
        <v>2.1769369468633144</v>
      </c>
      <c r="N15" s="166">
        <v>79.2</v>
      </c>
      <c r="O15" s="170">
        <f t="shared" si="3"/>
        <v>2376000</v>
      </c>
      <c r="P15" s="191">
        <f t="shared" si="4"/>
        <v>343710.00000000023</v>
      </c>
      <c r="Q15" s="192">
        <f t="shared" si="5"/>
        <v>0.45029033608999464</v>
      </c>
      <c r="R15" s="215">
        <v>331594</v>
      </c>
      <c r="S15" s="196">
        <f t="shared" si="6"/>
        <v>0.6662842629469703</v>
      </c>
      <c r="T15" s="200">
        <f t="shared" si="8"/>
        <v>12116.000000000233</v>
      </c>
      <c r="U15" s="196">
        <f t="shared" si="7"/>
        <v>4.5612137480617224E-2</v>
      </c>
    </row>
    <row r="16" spans="1:23" ht="20.25" customHeight="1">
      <c r="A16" s="350"/>
      <c r="B16" s="133">
        <v>5</v>
      </c>
      <c r="C16" s="123">
        <v>2535</v>
      </c>
      <c r="D16" s="124" t="s">
        <v>393</v>
      </c>
      <c r="E16" s="133" t="s">
        <v>585</v>
      </c>
      <c r="F16" s="103" t="s">
        <v>507</v>
      </c>
      <c r="G16" s="134"/>
      <c r="H16" s="134">
        <v>400000</v>
      </c>
      <c r="I16" s="126"/>
      <c r="J16" s="160">
        <v>12.254</v>
      </c>
      <c r="K16" s="127">
        <f t="shared" si="1"/>
        <v>0</v>
      </c>
      <c r="L16" s="200">
        <f t="shared" si="1"/>
        <v>4901600</v>
      </c>
      <c r="M16" s="196">
        <f t="shared" si="2"/>
        <v>5.250468259325797</v>
      </c>
      <c r="N16" s="166">
        <v>54.4</v>
      </c>
      <c r="O16" s="170">
        <f t="shared" si="3"/>
        <v>21760000</v>
      </c>
      <c r="P16" s="191">
        <f t="shared" si="4"/>
        <v>16858400</v>
      </c>
      <c r="Q16" s="192">
        <f t="shared" si="5"/>
        <v>22.085987029587617</v>
      </c>
      <c r="R16" s="215">
        <v>10344820</v>
      </c>
      <c r="S16" s="196">
        <f t="shared" si="6"/>
        <v>20.786234880664541</v>
      </c>
      <c r="T16" s="200">
        <f t="shared" si="8"/>
        <v>6513580</v>
      </c>
      <c r="U16" s="196">
        <f t="shared" si="7"/>
        <v>24.521154378589717</v>
      </c>
    </row>
    <row r="17" spans="1:21" ht="20.25" customHeight="1">
      <c r="A17" s="350"/>
      <c r="B17" s="133">
        <v>6</v>
      </c>
      <c r="C17" s="123">
        <v>2834</v>
      </c>
      <c r="D17" s="124" t="s">
        <v>394</v>
      </c>
      <c r="E17" s="133">
        <v>0.2</v>
      </c>
      <c r="F17" s="133">
        <v>1.1499999999999999</v>
      </c>
      <c r="G17" s="134"/>
      <c r="H17" s="134">
        <v>3603615</v>
      </c>
      <c r="I17" s="126"/>
      <c r="J17" s="160">
        <v>9.5860000000000003</v>
      </c>
      <c r="K17" s="127">
        <f t="shared" si="1"/>
        <v>0</v>
      </c>
      <c r="L17" s="200">
        <f t="shared" si="1"/>
        <v>34544253.390000001</v>
      </c>
      <c r="M17" s="196">
        <f t="shared" si="2"/>
        <v>37.002918631937035</v>
      </c>
      <c r="N17" s="166">
        <v>17.149999999999999</v>
      </c>
      <c r="O17" s="170">
        <f t="shared" si="3"/>
        <v>61801997</v>
      </c>
      <c r="P17" s="191">
        <f t="shared" si="4"/>
        <v>27257743.609999999</v>
      </c>
      <c r="Q17" s="192">
        <f t="shared" si="5"/>
        <v>35.71004198656366</v>
      </c>
      <c r="R17" s="215">
        <v>25127783</v>
      </c>
      <c r="S17" s="196">
        <f t="shared" si="6"/>
        <v>50.490196974753502</v>
      </c>
      <c r="T17" s="200">
        <f t="shared" si="8"/>
        <v>2129960.6099999994</v>
      </c>
      <c r="U17" s="196">
        <f t="shared" si="7"/>
        <v>8.0184925859704048</v>
      </c>
    </row>
    <row r="18" spans="1:21" ht="20.25" customHeight="1">
      <c r="A18" s="350"/>
      <c r="B18" s="133">
        <v>7</v>
      </c>
      <c r="C18" s="135">
        <v>2884</v>
      </c>
      <c r="D18" s="124" t="s">
        <v>395</v>
      </c>
      <c r="E18" s="133">
        <v>1.2</v>
      </c>
      <c r="F18" s="133">
        <v>0.2</v>
      </c>
      <c r="G18" s="134"/>
      <c r="H18" s="134">
        <v>515629</v>
      </c>
      <c r="I18" s="126"/>
      <c r="J18" s="160">
        <v>23.53</v>
      </c>
      <c r="K18" s="127"/>
      <c r="L18" s="200">
        <f>J18*H18</f>
        <v>12132750.370000001</v>
      </c>
      <c r="M18" s="196">
        <f t="shared" si="2"/>
        <v>12.996291153094564</v>
      </c>
      <c r="N18" s="166">
        <v>29</v>
      </c>
      <c r="O18" s="170">
        <f t="shared" si="3"/>
        <v>14953241</v>
      </c>
      <c r="P18" s="191">
        <f t="shared" si="4"/>
        <v>2820490.629999999</v>
      </c>
      <c r="Q18" s="192">
        <f t="shared" si="5"/>
        <v>3.6950908432148593</v>
      </c>
      <c r="R18" s="215">
        <v>2650928</v>
      </c>
      <c r="S18" s="196">
        <f t="shared" si="6"/>
        <v>5.3266090719539143</v>
      </c>
      <c r="T18" s="200">
        <f t="shared" si="8"/>
        <v>169562.62999999896</v>
      </c>
      <c r="U18" s="196">
        <f t="shared" si="7"/>
        <v>0.63833888999132016</v>
      </c>
    </row>
    <row r="19" spans="1:21" ht="20.25" customHeight="1">
      <c r="A19" s="350"/>
      <c r="B19" s="133">
        <v>8</v>
      </c>
      <c r="C19" s="123">
        <v>2887</v>
      </c>
      <c r="D19" s="124" t="s">
        <v>90</v>
      </c>
      <c r="E19" s="133">
        <v>0.6</v>
      </c>
      <c r="F19" s="133">
        <v>0.4</v>
      </c>
      <c r="G19" s="134"/>
      <c r="H19" s="134">
        <v>884449</v>
      </c>
      <c r="I19" s="126"/>
      <c r="J19" s="160">
        <v>13.222</v>
      </c>
      <c r="K19" s="127">
        <f t="shared" si="1"/>
        <v>0</v>
      </c>
      <c r="L19" s="200">
        <f t="shared" si="1"/>
        <v>11694184.677999999</v>
      </c>
      <c r="M19" s="196">
        <f t="shared" si="2"/>
        <v>12.526510827185625</v>
      </c>
      <c r="N19" s="166">
        <v>18.899999999999999</v>
      </c>
      <c r="O19" s="170">
        <f t="shared" si="3"/>
        <v>16716086</v>
      </c>
      <c r="P19" s="191">
        <f t="shared" si="4"/>
        <v>5021901.3220000006</v>
      </c>
      <c r="Q19" s="192">
        <f t="shared" si="5"/>
        <v>6.5791325073293381</v>
      </c>
      <c r="R19" s="215">
        <v>3593084</v>
      </c>
      <c r="S19" s="196">
        <f t="shared" si="6"/>
        <v>7.219718464889449</v>
      </c>
      <c r="T19" s="200">
        <f t="shared" si="8"/>
        <v>1428817.3220000006</v>
      </c>
      <c r="U19" s="196">
        <f t="shared" si="7"/>
        <v>5.3789544507882221</v>
      </c>
    </row>
    <row r="20" spans="1:21" ht="20.25" customHeight="1">
      <c r="A20" s="350"/>
      <c r="B20" s="133">
        <v>9</v>
      </c>
      <c r="C20" s="123">
        <v>5410</v>
      </c>
      <c r="D20" s="124" t="s">
        <v>397</v>
      </c>
      <c r="E20" s="133">
        <v>2.1</v>
      </c>
      <c r="F20" s="103" t="s">
        <v>507</v>
      </c>
      <c r="G20" s="134"/>
      <c r="H20" s="134">
        <v>145000</v>
      </c>
      <c r="I20" s="126"/>
      <c r="J20" s="160">
        <v>15.99</v>
      </c>
      <c r="K20" s="127">
        <f t="shared" si="1"/>
        <v>0</v>
      </c>
      <c r="L20" s="200">
        <f t="shared" si="1"/>
        <v>2318550</v>
      </c>
      <c r="M20" s="196">
        <f t="shared" si="2"/>
        <v>2.4835713201117646</v>
      </c>
      <c r="N20" s="166">
        <v>37.4</v>
      </c>
      <c r="O20" s="170">
        <f t="shared" si="3"/>
        <v>5423000</v>
      </c>
      <c r="P20" s="191">
        <f t="shared" si="4"/>
        <v>3104450</v>
      </c>
      <c r="Q20" s="192">
        <f t="shared" si="5"/>
        <v>4.0671025977556159</v>
      </c>
      <c r="R20" s="215">
        <v>2199223</v>
      </c>
      <c r="S20" s="196">
        <f t="shared" si="6"/>
        <v>4.4189812711057037</v>
      </c>
      <c r="T20" s="200">
        <f t="shared" si="8"/>
        <v>905227</v>
      </c>
      <c r="U20" s="196">
        <f t="shared" si="7"/>
        <v>3.4078357853388823</v>
      </c>
    </row>
    <row r="21" spans="1:21" ht="20.25" customHeight="1">
      <c r="A21" s="350"/>
      <c r="B21" s="133">
        <v>10</v>
      </c>
      <c r="C21" s="135">
        <v>5864</v>
      </c>
      <c r="D21" s="124" t="s">
        <v>398</v>
      </c>
      <c r="E21" s="133">
        <v>0.5</v>
      </c>
      <c r="F21" s="133">
        <v>1</v>
      </c>
      <c r="G21" s="134"/>
      <c r="H21" s="134">
        <v>165000</v>
      </c>
      <c r="I21" s="126"/>
      <c r="J21" s="160">
        <v>24.288</v>
      </c>
      <c r="K21" s="127"/>
      <c r="L21" s="200">
        <f t="shared" si="1"/>
        <v>4007520</v>
      </c>
      <c r="M21" s="196">
        <f t="shared" si="2"/>
        <v>4.2927526845546993</v>
      </c>
      <c r="N21" s="166">
        <v>23.5</v>
      </c>
      <c r="O21" s="170">
        <f t="shared" si="3"/>
        <v>3877500</v>
      </c>
      <c r="P21" s="191">
        <f t="shared" si="4"/>
        <v>-130020</v>
      </c>
      <c r="Q21" s="192">
        <f t="shared" si="5"/>
        <v>-0.17033763782962688</v>
      </c>
      <c r="R21" s="215">
        <v>-150082</v>
      </c>
      <c r="S21" s="196">
        <f t="shared" si="6"/>
        <v>-0.30156539247274439</v>
      </c>
      <c r="T21" s="200">
        <f t="shared" si="8"/>
        <v>20062</v>
      </c>
      <c r="U21" s="196">
        <f t="shared" si="7"/>
        <v>7.5525809024110699E-2</v>
      </c>
    </row>
    <row r="22" spans="1:21" ht="20.25" customHeight="1">
      <c r="A22" s="350"/>
      <c r="B22" s="133">
        <v>11</v>
      </c>
      <c r="C22" s="146">
        <v>9933</v>
      </c>
      <c r="D22" s="147" t="s">
        <v>437</v>
      </c>
      <c r="E22" s="211">
        <v>2.06</v>
      </c>
      <c r="F22" s="119" t="s">
        <v>507</v>
      </c>
      <c r="G22" s="148"/>
      <c r="H22" s="148">
        <v>155000</v>
      </c>
      <c r="I22" s="149"/>
      <c r="J22" s="161">
        <v>17.1539</v>
      </c>
      <c r="K22" s="150">
        <f>I22*G22</f>
        <v>0</v>
      </c>
      <c r="L22" s="207">
        <f>J22*H22</f>
        <v>2658854.5</v>
      </c>
      <c r="M22" s="196">
        <f t="shared" si="2"/>
        <v>2.8480967762395055</v>
      </c>
      <c r="N22" s="167">
        <v>47.95</v>
      </c>
      <c r="O22" s="171">
        <f t="shared" si="3"/>
        <v>7432250</v>
      </c>
      <c r="P22" s="191">
        <f t="shared" si="4"/>
        <v>4773395.5</v>
      </c>
      <c r="Q22" s="192">
        <f t="shared" si="5"/>
        <v>6.2535680195090819</v>
      </c>
      <c r="R22" s="216">
        <v>2922518</v>
      </c>
      <c r="S22" s="196">
        <f t="shared" si="6"/>
        <v>5.872325046832132</v>
      </c>
      <c r="T22" s="200">
        <f t="shared" si="8"/>
        <v>1850877.5</v>
      </c>
      <c r="U22" s="196">
        <f t="shared" si="7"/>
        <v>6.9678506924545633</v>
      </c>
    </row>
    <row r="23" spans="1:21" ht="20.25" customHeight="1">
      <c r="A23" s="350"/>
      <c r="B23" s="133">
        <v>12</v>
      </c>
      <c r="C23" s="146"/>
      <c r="D23" s="147"/>
      <c r="E23" s="211"/>
      <c r="F23" s="119"/>
      <c r="G23" s="148"/>
      <c r="H23" s="148"/>
      <c r="I23" s="149"/>
      <c r="J23" s="161"/>
      <c r="K23" s="150"/>
      <c r="L23" s="207"/>
      <c r="M23" s="244"/>
      <c r="N23" s="167"/>
      <c r="O23" s="171"/>
      <c r="P23" s="245"/>
      <c r="Q23" s="246"/>
      <c r="R23" s="216"/>
      <c r="S23" s="244"/>
      <c r="T23" s="207"/>
      <c r="U23" s="244"/>
    </row>
    <row r="24" spans="1:21" ht="20.25" customHeight="1">
      <c r="A24" s="350"/>
      <c r="B24" s="133">
        <v>13</v>
      </c>
      <c r="C24" s="146"/>
      <c r="D24" s="147"/>
      <c r="E24" s="211"/>
      <c r="F24" s="119"/>
      <c r="G24" s="148"/>
      <c r="H24" s="148"/>
      <c r="I24" s="149"/>
      <c r="J24" s="161"/>
      <c r="K24" s="150"/>
      <c r="L24" s="207"/>
      <c r="M24" s="244"/>
      <c r="N24" s="167"/>
      <c r="O24" s="171"/>
      <c r="P24" s="245"/>
      <c r="Q24" s="246"/>
      <c r="R24" s="216"/>
      <c r="S24" s="244"/>
      <c r="T24" s="207"/>
      <c r="U24" s="244"/>
    </row>
    <row r="25" spans="1:21" ht="20.25" customHeight="1" thickBot="1">
      <c r="A25" s="351"/>
      <c r="B25" s="292">
        <v>14</v>
      </c>
      <c r="C25" s="151"/>
      <c r="D25" s="153"/>
      <c r="E25" s="292"/>
      <c r="F25" s="154"/>
      <c r="G25" s="293"/>
      <c r="H25" s="293"/>
      <c r="I25" s="156"/>
      <c r="J25" s="294"/>
      <c r="K25" s="158"/>
      <c r="L25" s="201"/>
      <c r="M25" s="295"/>
      <c r="N25" s="296"/>
      <c r="O25" s="297"/>
      <c r="P25" s="298"/>
      <c r="Q25" s="299"/>
      <c r="R25" s="300"/>
      <c r="S25" s="295"/>
      <c r="T25" s="201"/>
      <c r="U25" s="295"/>
    </row>
    <row r="26" spans="1:21" ht="14.1" customHeight="1">
      <c r="A26" s="422" t="s">
        <v>489</v>
      </c>
      <c r="B26" s="423"/>
      <c r="C26" s="423"/>
      <c r="D26" s="423"/>
      <c r="E26" s="424"/>
      <c r="F26" s="425">
        <f>O26+T28</f>
        <v>184462879.06200001</v>
      </c>
      <c r="G26" s="426">
        <f t="shared" ref="G26:H27" si="9">B19+G21</f>
        <v>8</v>
      </c>
      <c r="H26" s="427">
        <f t="shared" si="9"/>
        <v>167887</v>
      </c>
      <c r="I26" s="219"/>
      <c r="J26" s="428" t="s">
        <v>479</v>
      </c>
      <c r="K26" s="139"/>
      <c r="L26" s="429">
        <f>SUM(L12:L25)</f>
        <v>93355482.938000008</v>
      </c>
      <c r="M26" s="291"/>
      <c r="N26" s="430" t="s">
        <v>517</v>
      </c>
      <c r="O26" s="431">
        <f>SUM(O12:O25)</f>
        <v>157899774</v>
      </c>
      <c r="P26" s="432">
        <f>O26-L26</f>
        <v>64544291.061999992</v>
      </c>
      <c r="Q26" s="433">
        <f>SUM(Q12:Q25)</f>
        <v>84.558699237724795</v>
      </c>
      <c r="R26" s="434">
        <f>SUM(R12:R25)</f>
        <v>49767647</v>
      </c>
      <c r="S26" s="419">
        <f>SUM(S12:S22)</f>
        <v>100.00000000000001</v>
      </c>
      <c r="T26" s="420">
        <f>SUM(T12:T25)</f>
        <v>14776644.061999999</v>
      </c>
      <c r="U26" s="421">
        <f>SUM(U12:U25)</f>
        <v>55.628451672010328</v>
      </c>
    </row>
    <row r="27" spans="1:21" ht="10.5" customHeight="1" thickBot="1">
      <c r="A27" s="337"/>
      <c r="B27" s="338"/>
      <c r="C27" s="338"/>
      <c r="D27" s="338"/>
      <c r="E27" s="339"/>
      <c r="F27" s="357" t="e">
        <f>#REF!+F22</f>
        <v>#REF!</v>
      </c>
      <c r="G27" s="358">
        <f t="shared" si="9"/>
        <v>9</v>
      </c>
      <c r="H27" s="359">
        <f t="shared" si="9"/>
        <v>160410</v>
      </c>
      <c r="I27" s="219"/>
      <c r="J27" s="367"/>
      <c r="K27" s="139"/>
      <c r="L27" s="406"/>
      <c r="M27" s="272"/>
      <c r="N27" s="411"/>
      <c r="O27" s="399"/>
      <c r="P27" s="385"/>
      <c r="Q27" s="409"/>
      <c r="R27" s="375"/>
      <c r="S27" s="404"/>
      <c r="T27" s="382"/>
      <c r="U27" s="380"/>
    </row>
    <row r="28" spans="1:21" ht="12.75" customHeight="1">
      <c r="A28" s="340" t="s">
        <v>490</v>
      </c>
      <c r="B28" s="341"/>
      <c r="C28" s="341"/>
      <c r="D28" s="341"/>
      <c r="E28" s="342"/>
      <c r="F28" s="360">
        <f>T31/L26</f>
        <v>1.9759190703829037</v>
      </c>
      <c r="G28" s="361"/>
      <c r="H28" s="362"/>
      <c r="I28" s="220"/>
      <c r="J28" s="352" t="s">
        <v>509</v>
      </c>
      <c r="K28" s="7"/>
      <c r="L28" s="247"/>
      <c r="M28" s="273"/>
      <c r="N28" s="412" t="s">
        <v>518</v>
      </c>
      <c r="O28" s="417">
        <v>157262951</v>
      </c>
      <c r="P28" s="384">
        <f>P26+P11</f>
        <v>76330752.061999992</v>
      </c>
      <c r="Q28" s="386">
        <f>Q26+Q11</f>
        <v>100</v>
      </c>
      <c r="R28" s="370">
        <f>R26</f>
        <v>49767647</v>
      </c>
      <c r="S28" s="280" t="s">
        <v>491</v>
      </c>
      <c r="T28" s="372">
        <f>T26+T11</f>
        <v>26563105.061999999</v>
      </c>
      <c r="U28" s="281" t="s">
        <v>492</v>
      </c>
    </row>
    <row r="29" spans="1:21" ht="14.25" customHeight="1" thickBot="1">
      <c r="A29" s="343"/>
      <c r="B29" s="344"/>
      <c r="C29" s="344"/>
      <c r="D29" s="344"/>
      <c r="E29" s="345"/>
      <c r="F29" s="363"/>
      <c r="G29" s="364"/>
      <c r="H29" s="365"/>
      <c r="I29" s="220"/>
      <c r="J29" s="353"/>
      <c r="K29" s="7"/>
      <c r="L29" s="248"/>
      <c r="M29" s="274"/>
      <c r="N29" s="413"/>
      <c r="O29" s="418"/>
      <c r="P29" s="385"/>
      <c r="Q29" s="387"/>
      <c r="R29" s="371"/>
      <c r="S29" s="282">
        <f>R28/P28*100</f>
        <v>65.199995618510357</v>
      </c>
      <c r="T29" s="373"/>
      <c r="U29" s="283">
        <f>T28/P28*100</f>
        <v>34.80000438148965</v>
      </c>
    </row>
    <row r="30" spans="1:21" hidden="1">
      <c r="B30" s="7"/>
      <c r="C30" s="7"/>
      <c r="D30" s="140"/>
      <c r="E30" s="7"/>
      <c r="F30" s="7"/>
      <c r="G30" s="7"/>
      <c r="H30" s="7"/>
      <c r="I30" s="7"/>
      <c r="J30" s="7"/>
      <c r="K30" s="7"/>
      <c r="L30" s="141"/>
      <c r="M30" s="141"/>
      <c r="N30" s="275"/>
      <c r="O30" s="276"/>
      <c r="P30" s="277"/>
      <c r="Q30" s="274"/>
      <c r="R30" s="186"/>
      <c r="S30" s="187"/>
      <c r="T30" s="278"/>
      <c r="U30" s="279"/>
    </row>
    <row r="31" spans="1:21" hidden="1">
      <c r="B31" s="7"/>
      <c r="C31" s="7"/>
      <c r="D31" s="140"/>
      <c r="E31" s="7"/>
      <c r="F31" s="7"/>
      <c r="G31" s="7"/>
      <c r="H31" s="7"/>
      <c r="I31" s="7"/>
      <c r="J31" s="7"/>
      <c r="K31" s="7"/>
      <c r="L31" s="141"/>
      <c r="M31" s="141"/>
      <c r="N31" s="142"/>
      <c r="O31" s="173"/>
      <c r="P31" s="400" t="s">
        <v>489</v>
      </c>
      <c r="Q31" s="401"/>
      <c r="R31" s="401"/>
      <c r="S31" s="402"/>
      <c r="T31" s="221">
        <f>O26+T28</f>
        <v>184462879.06200001</v>
      </c>
      <c r="U31" s="141"/>
    </row>
    <row r="32" spans="1:21" hidden="1">
      <c r="B32" s="7"/>
      <c r="C32" s="7"/>
      <c r="D32" s="140"/>
      <c r="E32" s="7"/>
      <c r="F32" s="7"/>
      <c r="G32" s="7"/>
      <c r="H32" s="7"/>
      <c r="I32" s="7"/>
      <c r="J32" s="7"/>
      <c r="K32" s="7"/>
      <c r="L32" s="141"/>
      <c r="M32" s="141"/>
      <c r="N32" s="142"/>
      <c r="O32" s="173"/>
      <c r="P32" s="400" t="s">
        <v>490</v>
      </c>
      <c r="Q32" s="401"/>
      <c r="R32" s="401"/>
      <c r="S32" s="402"/>
      <c r="T32" s="222">
        <f>T31/L26</f>
        <v>1.9759190703829037</v>
      </c>
      <c r="U32" s="141"/>
    </row>
    <row r="33" spans="1:21" ht="17.45" customHeight="1">
      <c r="A33" s="143" t="s">
        <v>516</v>
      </c>
      <c r="D33" s="174"/>
      <c r="L33" s="175"/>
      <c r="M33" s="175"/>
      <c r="N33" s="176"/>
      <c r="O33" s="175"/>
      <c r="P33" s="177"/>
      <c r="Q33" s="177"/>
      <c r="R33" s="178"/>
      <c r="S33" s="178"/>
      <c r="T33" s="145" t="s">
        <v>399</v>
      </c>
      <c r="U33" s="175"/>
    </row>
    <row r="34" spans="1:21" ht="6.75" customHeight="1">
      <c r="C34" s="144"/>
    </row>
    <row r="35" spans="1:21" ht="18.75" customHeight="1">
      <c r="A35" s="7"/>
      <c r="B35" s="122"/>
      <c r="C35" s="122"/>
      <c r="D35" s="122"/>
      <c r="E35" s="390" t="s">
        <v>493</v>
      </c>
      <c r="F35" s="390"/>
      <c r="G35" s="209"/>
      <c r="H35" s="395" t="s">
        <v>583</v>
      </c>
      <c r="I35" s="396"/>
      <c r="J35" s="396"/>
      <c r="K35" s="396"/>
      <c r="L35" s="396"/>
      <c r="M35" s="396"/>
      <c r="N35" s="396"/>
      <c r="O35" s="397"/>
      <c r="P35" s="376" t="s">
        <v>380</v>
      </c>
      <c r="Q35" s="377"/>
      <c r="R35" s="377"/>
      <c r="S35" s="377"/>
      <c r="T35" s="377"/>
      <c r="U35" s="378"/>
    </row>
    <row r="36" spans="1:21" ht="20.25" customHeight="1">
      <c r="A36" s="7"/>
      <c r="B36" s="383" t="s">
        <v>381</v>
      </c>
      <c r="C36" s="378"/>
      <c r="D36" s="123" t="s">
        <v>382</v>
      </c>
      <c r="E36" s="123" t="s">
        <v>383</v>
      </c>
      <c r="F36" s="123" t="s">
        <v>384</v>
      </c>
      <c r="G36" s="123"/>
      <c r="H36" s="394" t="s">
        <v>377</v>
      </c>
      <c r="I36" s="394"/>
      <c r="J36" s="394" t="s">
        <v>378</v>
      </c>
      <c r="K36" s="394"/>
      <c r="L36" s="193" t="s">
        <v>482</v>
      </c>
      <c r="M36" s="189" t="s">
        <v>480</v>
      </c>
      <c r="N36" s="208" t="s">
        <v>379</v>
      </c>
      <c r="O36" s="210" t="s">
        <v>481</v>
      </c>
      <c r="P36" s="188" t="s">
        <v>386</v>
      </c>
      <c r="Q36" s="189" t="s">
        <v>480</v>
      </c>
      <c r="R36" s="193" t="s">
        <v>385</v>
      </c>
      <c r="S36" s="189" t="s">
        <v>480</v>
      </c>
      <c r="T36" s="197" t="s">
        <v>486</v>
      </c>
      <c r="U36" s="189" t="s">
        <v>480</v>
      </c>
    </row>
    <row r="37" spans="1:21" ht="20.25" customHeight="1">
      <c r="A37" s="349" t="s">
        <v>572</v>
      </c>
      <c r="B37" s="133">
        <v>1</v>
      </c>
      <c r="C37" s="146" t="s">
        <v>573</v>
      </c>
      <c r="D37" s="147" t="s">
        <v>574</v>
      </c>
      <c r="E37" s="211"/>
      <c r="F37" s="119"/>
      <c r="G37" s="148"/>
      <c r="H37" s="148">
        <v>10000</v>
      </c>
      <c r="I37" s="149"/>
      <c r="J37" s="287">
        <v>2316.42</v>
      </c>
      <c r="K37" s="150"/>
      <c r="L37" s="207">
        <f>H37*J37</f>
        <v>23164200</v>
      </c>
      <c r="M37" s="244"/>
      <c r="N37" s="167">
        <v>2455</v>
      </c>
      <c r="O37" s="171">
        <f>N37*H37</f>
        <v>24550000</v>
      </c>
      <c r="P37" s="245">
        <f>O37-L37</f>
        <v>1385800</v>
      </c>
      <c r="Q37" s="246"/>
      <c r="R37" s="216"/>
      <c r="S37" s="244"/>
      <c r="T37" s="207"/>
      <c r="U37" s="244"/>
    </row>
    <row r="38" spans="1:21" ht="17.25" thickBot="1">
      <c r="A38" s="351"/>
      <c r="B38" s="151">
        <v>2</v>
      </c>
      <c r="C38" s="152"/>
      <c r="D38" s="153"/>
      <c r="E38" s="154"/>
      <c r="F38" s="154"/>
      <c r="G38" s="155"/>
      <c r="H38" s="155"/>
      <c r="I38" s="156"/>
      <c r="J38" s="157"/>
      <c r="K38" s="158"/>
      <c r="L38" s="201"/>
      <c r="M38" s="202"/>
      <c r="N38" s="159"/>
      <c r="O38" s="172"/>
      <c r="P38" s="301"/>
      <c r="Q38" s="302"/>
      <c r="R38" s="303"/>
      <c r="S38" s="304"/>
      <c r="T38" s="201"/>
      <c r="U38" s="202"/>
    </row>
    <row r="39" spans="1:21">
      <c r="A39" s="143"/>
      <c r="C39" s="144"/>
      <c r="U39" s="145"/>
    </row>
    <row r="41" spans="1:21">
      <c r="B41" s="143"/>
    </row>
    <row r="42" spans="1:21" hidden="1"/>
    <row r="43" spans="1:21" hidden="1">
      <c r="B43" s="143" t="s">
        <v>487</v>
      </c>
    </row>
    <row r="44" spans="1:21" hidden="1">
      <c r="B44" s="143" t="s">
        <v>488</v>
      </c>
    </row>
  </sheetData>
  <mergeCells count="43">
    <mergeCell ref="E4:F4"/>
    <mergeCell ref="H4:O4"/>
    <mergeCell ref="P4:U4"/>
    <mergeCell ref="E3:F3"/>
    <mergeCell ref="L3:M3"/>
    <mergeCell ref="P3:Q3"/>
    <mergeCell ref="R3:S3"/>
    <mergeCell ref="T3:U3"/>
    <mergeCell ref="B5:C5"/>
    <mergeCell ref="H5:I5"/>
    <mergeCell ref="J5:K5"/>
    <mergeCell ref="A6:A11"/>
    <mergeCell ref="A12:A25"/>
    <mergeCell ref="S26:S27"/>
    <mergeCell ref="T26:T27"/>
    <mergeCell ref="U26:U27"/>
    <mergeCell ref="A26:E27"/>
    <mergeCell ref="F26:H27"/>
    <mergeCell ref="J26:J27"/>
    <mergeCell ref="L26:L27"/>
    <mergeCell ref="N26:N27"/>
    <mergeCell ref="O26:O27"/>
    <mergeCell ref="P26:P27"/>
    <mergeCell ref="Q26:Q27"/>
    <mergeCell ref="R26:R27"/>
    <mergeCell ref="A37:A38"/>
    <mergeCell ref="A28:E29"/>
    <mergeCell ref="F28:H29"/>
    <mergeCell ref="J28:J29"/>
    <mergeCell ref="N28:N29"/>
    <mergeCell ref="B36:C36"/>
    <mergeCell ref="H36:I36"/>
    <mergeCell ref="J36:K36"/>
    <mergeCell ref="T28:T29"/>
    <mergeCell ref="P31:S31"/>
    <mergeCell ref="P32:S32"/>
    <mergeCell ref="E35:F35"/>
    <mergeCell ref="H35:O35"/>
    <mergeCell ref="P35:U35"/>
    <mergeCell ref="O28:O29"/>
    <mergeCell ref="P28:P29"/>
    <mergeCell ref="Q28:Q29"/>
    <mergeCell ref="R28:R29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3"/>
  <sheetViews>
    <sheetView zoomScale="85" zoomScaleNormal="85" workbookViewId="0">
      <selection activeCell="J22" sqref="J22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375" customWidth="1"/>
    <col min="15" max="15" width="13.25" customWidth="1"/>
    <col min="16" max="16" width="14.625" customWidth="1"/>
    <col min="17" max="17" width="7.25" customWidth="1"/>
    <col min="18" max="18" width="12.87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657</v>
      </c>
    </row>
    <row r="3" spans="1:23" ht="17.45" customHeight="1">
      <c r="A3" s="7"/>
      <c r="B3" s="72"/>
      <c r="C3" s="72"/>
      <c r="D3" s="72"/>
      <c r="E3" s="388"/>
      <c r="F3" s="389"/>
      <c r="G3" s="72"/>
      <c r="H3" s="72" t="s">
        <v>372</v>
      </c>
      <c r="I3" s="72"/>
      <c r="J3" s="72" t="s">
        <v>373</v>
      </c>
      <c r="K3" s="6"/>
      <c r="L3" s="391" t="s">
        <v>374</v>
      </c>
      <c r="M3" s="392"/>
      <c r="N3" s="120" t="s">
        <v>375</v>
      </c>
      <c r="O3" s="168" t="s">
        <v>376</v>
      </c>
      <c r="P3" s="393" t="s">
        <v>483</v>
      </c>
      <c r="Q3" s="392"/>
      <c r="R3" s="383" t="s">
        <v>484</v>
      </c>
      <c r="S3" s="378"/>
      <c r="T3" s="368" t="s">
        <v>485</v>
      </c>
      <c r="U3" s="369"/>
    </row>
    <row r="4" spans="1:23" ht="18.75" customHeight="1">
      <c r="A4" s="7"/>
      <c r="B4" s="122"/>
      <c r="C4" s="122"/>
      <c r="D4" s="122"/>
      <c r="E4" s="390" t="s">
        <v>493</v>
      </c>
      <c r="F4" s="390"/>
      <c r="G4" s="209"/>
      <c r="H4" s="395" t="s">
        <v>583</v>
      </c>
      <c r="I4" s="396"/>
      <c r="J4" s="396"/>
      <c r="K4" s="396"/>
      <c r="L4" s="396"/>
      <c r="M4" s="396"/>
      <c r="N4" s="396"/>
      <c r="O4" s="397"/>
      <c r="P4" s="376" t="s">
        <v>380</v>
      </c>
      <c r="Q4" s="377"/>
      <c r="R4" s="377"/>
      <c r="S4" s="377"/>
      <c r="T4" s="377"/>
      <c r="U4" s="378"/>
    </row>
    <row r="5" spans="1:23" ht="20.25" customHeight="1">
      <c r="A5" s="7"/>
      <c r="B5" s="383" t="s">
        <v>381</v>
      </c>
      <c r="C5" s="378"/>
      <c r="D5" s="123" t="s">
        <v>382</v>
      </c>
      <c r="E5" s="123" t="s">
        <v>383</v>
      </c>
      <c r="F5" s="123" t="s">
        <v>384</v>
      </c>
      <c r="G5" s="123"/>
      <c r="H5" s="394" t="s">
        <v>377</v>
      </c>
      <c r="I5" s="394"/>
      <c r="J5" s="394" t="s">
        <v>378</v>
      </c>
      <c r="K5" s="394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46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T6/$P$27*100</f>
        <v>1.0054837845539215</v>
      </c>
      <c r="R6" s="250">
        <v>0</v>
      </c>
      <c r="S6" s="251">
        <f>R6/$R$27*100</f>
        <v>0</v>
      </c>
      <c r="T6" s="252">
        <v>813975</v>
      </c>
      <c r="U6" s="253">
        <f>T6/$T$27*100</f>
        <v>2.4454638007963569</v>
      </c>
    </row>
    <row r="7" spans="1:23" ht="20.25" customHeight="1">
      <c r="A7" s="347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>T7/$P$27*100</f>
        <v>8.0913666387472905</v>
      </c>
      <c r="R7" s="240">
        <v>0</v>
      </c>
      <c r="S7" s="241">
        <f>R7/$R$27*100</f>
        <v>0</v>
      </c>
      <c r="T7" s="242">
        <v>6550250</v>
      </c>
      <c r="U7" s="243">
        <f>T7/$T$27*100</f>
        <v>19.679227569847153</v>
      </c>
    </row>
    <row r="8" spans="1:23" ht="20.25" customHeight="1">
      <c r="A8" s="347"/>
      <c r="B8" s="121">
        <v>3</v>
      </c>
      <c r="C8" s="135" t="s">
        <v>389</v>
      </c>
      <c r="D8" s="124" t="s">
        <v>390</v>
      </c>
      <c r="E8" s="129"/>
      <c r="F8" s="129"/>
      <c r="G8" s="258"/>
      <c r="H8" s="258"/>
      <c r="I8" s="130"/>
      <c r="J8" s="130"/>
      <c r="K8" s="131"/>
      <c r="L8" s="198"/>
      <c r="M8" s="199"/>
      <c r="N8" s="132"/>
      <c r="O8" s="259"/>
      <c r="P8" s="260">
        <v>4422236</v>
      </c>
      <c r="Q8" s="190">
        <f>T8/$P$27*100</f>
        <v>5.4626820104678844</v>
      </c>
      <c r="R8" s="262">
        <v>0</v>
      </c>
      <c r="S8" s="241">
        <v>0</v>
      </c>
      <c r="T8" s="286">
        <v>4422236</v>
      </c>
      <c r="U8" s="243">
        <f>T8/$T$27*100</f>
        <v>13.285933912685868</v>
      </c>
    </row>
    <row r="9" spans="1:23" ht="20.25" customHeight="1">
      <c r="A9" s="347"/>
      <c r="B9" s="121">
        <v>4</v>
      </c>
      <c r="C9" s="135" t="s">
        <v>391</v>
      </c>
      <c r="D9" s="124" t="s">
        <v>392</v>
      </c>
      <c r="E9" s="129"/>
      <c r="F9" s="129"/>
      <c r="G9" s="258"/>
      <c r="H9" s="258"/>
      <c r="I9" s="130"/>
      <c r="J9" s="130"/>
      <c r="K9" s="131"/>
      <c r="L9" s="198"/>
      <c r="M9" s="199"/>
      <c r="N9" s="132"/>
      <c r="O9" s="259"/>
      <c r="P9" s="260">
        <v>2446984</v>
      </c>
      <c r="Q9" s="190">
        <f>T9/$P$27*100</f>
        <v>3.0227006149610163</v>
      </c>
      <c r="R9" s="262">
        <v>0</v>
      </c>
      <c r="S9" s="263">
        <v>0</v>
      </c>
      <c r="T9" s="264">
        <v>2446984</v>
      </c>
      <c r="U9" s="243">
        <f>T9/$T$27*100</f>
        <v>7.3515903966680467</v>
      </c>
    </row>
    <row r="10" spans="1:23" ht="20.25" customHeight="1" thickBot="1">
      <c r="A10" s="347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48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SUM(P6:P9)</f>
        <v>14233445</v>
      </c>
      <c r="Q11" s="218">
        <f>T11/$P$27*100</f>
        <v>17.58223304873011</v>
      </c>
      <c r="R11" s="194">
        <f>SUM(R6:R7)</f>
        <v>0</v>
      </c>
      <c r="S11" s="195">
        <f>SUM(S6:S7)</f>
        <v>0</v>
      </c>
      <c r="T11" s="214">
        <f>SUM(T6:T9)</f>
        <v>14233445</v>
      </c>
      <c r="U11" s="213">
        <f>SUM(U6:U8)</f>
        <v>35.410625283329381</v>
      </c>
    </row>
    <row r="12" spans="1:23" ht="20.25" customHeight="1">
      <c r="A12" s="349" t="s">
        <v>513</v>
      </c>
      <c r="B12" s="133">
        <v>1</v>
      </c>
      <c r="C12" s="133" t="s">
        <v>387</v>
      </c>
      <c r="D12" s="124" t="s">
        <v>155</v>
      </c>
      <c r="E12" s="133">
        <v>2.56</v>
      </c>
      <c r="F12" s="103">
        <v>0</v>
      </c>
      <c r="G12" s="134"/>
      <c r="H12" s="134">
        <v>100000</v>
      </c>
      <c r="I12" s="126"/>
      <c r="J12" s="160">
        <v>16.914999999999999</v>
      </c>
      <c r="K12" s="127">
        <f t="shared" ref="K12:L20" si="0">I12*G12</f>
        <v>0</v>
      </c>
      <c r="L12" s="200">
        <f t="shared" si="0"/>
        <v>1691500</v>
      </c>
      <c r="M12" s="196">
        <f t="shared" ref="M12:M22" si="1">L12/$L$25*100</f>
        <v>1.9013172418049968</v>
      </c>
      <c r="N12" s="166">
        <v>37.869999999999997</v>
      </c>
      <c r="O12" s="170">
        <f t="shared" ref="O12:O22" si="2">ROUND(N12*H12,0)</f>
        <v>3787000</v>
      </c>
      <c r="P12" s="191">
        <f t="shared" ref="P12:P22" si="3">O12-L12</f>
        <v>2095500</v>
      </c>
      <c r="Q12" s="192">
        <f t="shared" ref="Q12:Q22" si="4">P12/$P$27*100</f>
        <v>2.5885208643173838</v>
      </c>
      <c r="R12" s="215">
        <v>980041</v>
      </c>
      <c r="S12" s="196">
        <f t="shared" ref="S12:S22" si="5">R12/$R$27*100</f>
        <v>2.0559522456677914</v>
      </c>
      <c r="T12" s="200">
        <f>P12-R12</f>
        <v>1115459</v>
      </c>
      <c r="U12" s="196">
        <f t="shared" ref="U12:U22" si="6">T12/$T$27*100</f>
        <v>3.3512265189625037</v>
      </c>
      <c r="W12" s="136"/>
    </row>
    <row r="13" spans="1:23" ht="20.25" customHeight="1">
      <c r="A13" s="350"/>
      <c r="B13" s="133">
        <v>2</v>
      </c>
      <c r="C13" s="133" t="s">
        <v>446</v>
      </c>
      <c r="D13" s="124" t="s">
        <v>447</v>
      </c>
      <c r="E13" s="133">
        <v>0.68</v>
      </c>
      <c r="F13" s="103">
        <v>0</v>
      </c>
      <c r="G13" s="134"/>
      <c r="H13" s="134">
        <v>500000</v>
      </c>
      <c r="I13" s="126"/>
      <c r="J13" s="160">
        <v>28.34</v>
      </c>
      <c r="K13" s="127">
        <f>I13*G13</f>
        <v>0</v>
      </c>
      <c r="L13" s="200">
        <f>J13*H13</f>
        <v>14170000</v>
      </c>
      <c r="M13" s="196">
        <f t="shared" si="1"/>
        <v>15.927676805425248</v>
      </c>
      <c r="N13" s="166">
        <v>31.85</v>
      </c>
      <c r="O13" s="170">
        <f t="shared" si="2"/>
        <v>15925000</v>
      </c>
      <c r="P13" s="191">
        <f t="shared" si="3"/>
        <v>1755000</v>
      </c>
      <c r="Q13" s="192">
        <f t="shared" si="4"/>
        <v>2.1679093852908657</v>
      </c>
      <c r="R13" s="215">
        <v>1258590</v>
      </c>
      <c r="S13" s="196">
        <f t="shared" si="5"/>
        <v>2.6402986577857721</v>
      </c>
      <c r="T13" s="200">
        <f t="shared" ref="T13:T22" si="7">P13-R13</f>
        <v>496410</v>
      </c>
      <c r="U13" s="196">
        <f t="shared" si="6"/>
        <v>1.4913881696038818</v>
      </c>
    </row>
    <row r="14" spans="1:23" ht="20.25" customHeight="1">
      <c r="A14" s="350"/>
      <c r="B14" s="133">
        <v>4</v>
      </c>
      <c r="C14" s="123">
        <v>1216</v>
      </c>
      <c r="D14" s="124" t="s">
        <v>443</v>
      </c>
      <c r="E14" s="133">
        <v>3</v>
      </c>
      <c r="F14" s="103" t="s">
        <v>507</v>
      </c>
      <c r="G14" s="134"/>
      <c r="H14" s="134">
        <v>30000</v>
      </c>
      <c r="I14" s="126"/>
      <c r="J14" s="160">
        <v>64.742999999999995</v>
      </c>
      <c r="K14" s="127"/>
      <c r="L14" s="200">
        <f>J14*H14</f>
        <v>1942289.9999999998</v>
      </c>
      <c r="M14" s="196">
        <f t="shared" si="1"/>
        <v>2.1832157644607904</v>
      </c>
      <c r="N14" s="166">
        <v>87.4</v>
      </c>
      <c r="O14" s="170">
        <f t="shared" si="2"/>
        <v>2622000</v>
      </c>
      <c r="P14" s="191">
        <f t="shared" si="3"/>
        <v>679710.00000000023</v>
      </c>
      <c r="Q14" s="192">
        <f t="shared" si="4"/>
        <v>0.83962945200914807</v>
      </c>
      <c r="R14" s="215">
        <v>576506</v>
      </c>
      <c r="S14" s="196">
        <f t="shared" si="5"/>
        <v>1.2094073669784793</v>
      </c>
      <c r="T14" s="200">
        <f t="shared" si="7"/>
        <v>103204.00000000023</v>
      </c>
      <c r="U14" s="196">
        <f t="shared" si="6"/>
        <v>0.31006068503011497</v>
      </c>
    </row>
    <row r="15" spans="1:23" ht="20.25" customHeight="1">
      <c r="A15" s="350"/>
      <c r="B15" s="133">
        <v>5</v>
      </c>
      <c r="C15" s="123">
        <v>2535</v>
      </c>
      <c r="D15" s="124" t="s">
        <v>393</v>
      </c>
      <c r="E15" s="133">
        <v>3</v>
      </c>
      <c r="F15" s="103" t="s">
        <v>507</v>
      </c>
      <c r="G15" s="134"/>
      <c r="H15" s="134">
        <v>400000</v>
      </c>
      <c r="I15" s="126"/>
      <c r="J15" s="160">
        <v>12.254</v>
      </c>
      <c r="K15" s="127">
        <f t="shared" si="0"/>
        <v>0</v>
      </c>
      <c r="L15" s="200">
        <f t="shared" si="0"/>
        <v>4901600</v>
      </c>
      <c r="M15" s="196">
        <f t="shared" si="1"/>
        <v>5.5096048432937463</v>
      </c>
      <c r="N15" s="166">
        <v>52.7</v>
      </c>
      <c r="O15" s="170">
        <f t="shared" si="2"/>
        <v>21080000</v>
      </c>
      <c r="P15" s="191">
        <f t="shared" si="3"/>
        <v>16178400</v>
      </c>
      <c r="Q15" s="192">
        <f t="shared" si="4"/>
        <v>19.984789287173641</v>
      </c>
      <c r="R15" s="215">
        <v>9667829</v>
      </c>
      <c r="S15" s="196">
        <f t="shared" si="5"/>
        <v>20.281391026785819</v>
      </c>
      <c r="T15" s="200">
        <f t="shared" si="7"/>
        <v>6510571</v>
      </c>
      <c r="U15" s="196">
        <f t="shared" si="6"/>
        <v>19.560018063226192</v>
      </c>
    </row>
    <row r="16" spans="1:23" ht="20.25" customHeight="1">
      <c r="A16" s="350"/>
      <c r="B16" s="133">
        <v>6</v>
      </c>
      <c r="C16" s="123">
        <v>2834</v>
      </c>
      <c r="D16" s="124" t="s">
        <v>394</v>
      </c>
      <c r="E16" s="133">
        <v>0.2</v>
      </c>
      <c r="F16" s="133">
        <v>1.1499999999999999</v>
      </c>
      <c r="G16" s="134"/>
      <c r="H16" s="314">
        <v>4259985</v>
      </c>
      <c r="I16" s="126"/>
      <c r="J16" s="160">
        <v>8.7819000000000003</v>
      </c>
      <c r="K16" s="127">
        <f t="shared" si="0"/>
        <v>0</v>
      </c>
      <c r="L16" s="200">
        <f t="shared" si="0"/>
        <v>37410762.271499999</v>
      </c>
      <c r="M16" s="196">
        <f t="shared" si="1"/>
        <v>42.051272442134682</v>
      </c>
      <c r="N16" s="166">
        <v>15.7</v>
      </c>
      <c r="O16" s="170">
        <f t="shared" si="2"/>
        <v>66881765</v>
      </c>
      <c r="P16" s="191">
        <f t="shared" si="3"/>
        <v>29471002.728500001</v>
      </c>
      <c r="Q16" s="192">
        <f t="shared" si="4"/>
        <v>36.404822455297925</v>
      </c>
      <c r="R16" s="215">
        <v>26549636</v>
      </c>
      <c r="S16" s="196">
        <f t="shared" si="5"/>
        <v>55.696428777839337</v>
      </c>
      <c r="T16" s="200">
        <f t="shared" si="7"/>
        <v>2921366.7285000011</v>
      </c>
      <c r="U16" s="196">
        <f t="shared" si="6"/>
        <v>8.7768009870052914</v>
      </c>
    </row>
    <row r="17" spans="1:21" ht="20.25" customHeight="1">
      <c r="A17" s="350"/>
      <c r="B17" s="133">
        <v>7</v>
      </c>
      <c r="C17" s="135">
        <v>2884</v>
      </c>
      <c r="D17" s="124" t="s">
        <v>395</v>
      </c>
      <c r="E17" s="133">
        <v>1.2</v>
      </c>
      <c r="F17" s="133">
        <v>0.2</v>
      </c>
      <c r="G17" s="134"/>
      <c r="H17" s="134">
        <v>525958</v>
      </c>
      <c r="I17" s="126"/>
      <c r="J17" s="160">
        <v>21.89224320493922</v>
      </c>
      <c r="K17" s="127"/>
      <c r="L17" s="200">
        <f>J17*H17</f>
        <v>11514400.451583423</v>
      </c>
      <c r="M17" s="196">
        <f t="shared" si="1"/>
        <v>12.942671065706653</v>
      </c>
      <c r="N17" s="166">
        <v>27.85</v>
      </c>
      <c r="O17" s="170">
        <f t="shared" si="2"/>
        <v>14647930</v>
      </c>
      <c r="P17" s="191">
        <f t="shared" si="3"/>
        <v>3133529.5484165773</v>
      </c>
      <c r="Q17" s="192">
        <f t="shared" si="4"/>
        <v>3.8707738558966072</v>
      </c>
      <c r="R17" s="215">
        <v>2346988</v>
      </c>
      <c r="S17" s="196">
        <f t="shared" si="5"/>
        <v>4.9235646765343075</v>
      </c>
      <c r="T17" s="200">
        <f t="shared" si="7"/>
        <v>786541.54841657728</v>
      </c>
      <c r="U17" s="196">
        <f t="shared" si="6"/>
        <v>2.3630441776160875</v>
      </c>
    </row>
    <row r="18" spans="1:21" ht="20.25" customHeight="1">
      <c r="A18" s="350"/>
      <c r="B18" s="133">
        <v>8</v>
      </c>
      <c r="C18" s="123">
        <v>2887</v>
      </c>
      <c r="D18" s="124" t="s">
        <v>90</v>
      </c>
      <c r="E18" s="133">
        <v>0.6</v>
      </c>
      <c r="F18" s="133">
        <v>0.4</v>
      </c>
      <c r="G18" s="134"/>
      <c r="H18" s="134">
        <v>919826</v>
      </c>
      <c r="I18" s="126"/>
      <c r="J18" s="160">
        <v>12.136196631867962</v>
      </c>
      <c r="K18" s="127">
        <f t="shared" si="0"/>
        <v>0</v>
      </c>
      <c r="L18" s="200">
        <f t="shared" si="0"/>
        <v>11163189.20310458</v>
      </c>
      <c r="M18" s="196">
        <f t="shared" si="1"/>
        <v>12.547894830265516</v>
      </c>
      <c r="N18" s="166">
        <v>18.3</v>
      </c>
      <c r="O18" s="170">
        <f t="shared" si="2"/>
        <v>16832816</v>
      </c>
      <c r="P18" s="191">
        <f t="shared" si="3"/>
        <v>5669626.7968954202</v>
      </c>
      <c r="Q18" s="192">
        <f t="shared" si="4"/>
        <v>7.0035539282542274</v>
      </c>
      <c r="R18" s="215">
        <v>3709294</v>
      </c>
      <c r="S18" s="196">
        <f t="shared" si="5"/>
        <v>7.7814411123025113</v>
      </c>
      <c r="T18" s="200">
        <f t="shared" si="7"/>
        <v>1960332.7968954202</v>
      </c>
      <c r="U18" s="196">
        <f t="shared" si="6"/>
        <v>5.8895210446532484</v>
      </c>
    </row>
    <row r="19" spans="1:21" ht="20.25" customHeight="1">
      <c r="A19" s="350"/>
      <c r="B19" s="133">
        <v>9</v>
      </c>
      <c r="C19" s="123">
        <v>5410</v>
      </c>
      <c r="D19" s="124" t="s">
        <v>397</v>
      </c>
      <c r="E19" s="133">
        <v>2.1</v>
      </c>
      <c r="F19" s="103" t="s">
        <v>507</v>
      </c>
      <c r="G19" s="134"/>
      <c r="H19" s="134">
        <v>103000</v>
      </c>
      <c r="I19" s="126"/>
      <c r="J19" s="160">
        <v>4.1909999999999998</v>
      </c>
      <c r="K19" s="127">
        <f t="shared" si="0"/>
        <v>0</v>
      </c>
      <c r="L19" s="200">
        <f t="shared" si="0"/>
        <v>431673</v>
      </c>
      <c r="M19" s="196">
        <f t="shared" si="1"/>
        <v>0.48521863300129375</v>
      </c>
      <c r="N19" s="166">
        <v>32.450000000000003</v>
      </c>
      <c r="O19" s="170">
        <f t="shared" si="2"/>
        <v>3342350</v>
      </c>
      <c r="P19" s="191">
        <f t="shared" si="3"/>
        <v>2910677</v>
      </c>
      <c r="Q19" s="192">
        <f t="shared" si="4"/>
        <v>3.5954894506269293</v>
      </c>
      <c r="R19" s="215">
        <v>1056792</v>
      </c>
      <c r="S19" s="196">
        <f t="shared" si="5"/>
        <v>2.21696223484911</v>
      </c>
      <c r="T19" s="200">
        <f t="shared" si="7"/>
        <v>1853885</v>
      </c>
      <c r="U19" s="196">
        <f t="shared" si="6"/>
        <v>5.5697148663525962</v>
      </c>
    </row>
    <row r="20" spans="1:21" ht="20.25" customHeight="1">
      <c r="A20" s="350"/>
      <c r="B20" s="133">
        <v>10</v>
      </c>
      <c r="C20" s="135">
        <v>5864</v>
      </c>
      <c r="D20" s="124" t="s">
        <v>398</v>
      </c>
      <c r="E20" s="133">
        <v>0.5</v>
      </c>
      <c r="F20" s="133">
        <v>1</v>
      </c>
      <c r="G20" s="134"/>
      <c r="H20" s="134">
        <v>181500</v>
      </c>
      <c r="I20" s="126"/>
      <c r="J20" s="160">
        <v>21.626000000000001</v>
      </c>
      <c r="K20" s="127"/>
      <c r="L20" s="200">
        <f t="shared" si="0"/>
        <v>3925119</v>
      </c>
      <c r="M20" s="196">
        <f t="shared" si="1"/>
        <v>4.4119990723242015</v>
      </c>
      <c r="N20" s="166">
        <v>18.600000000000001</v>
      </c>
      <c r="O20" s="170">
        <f t="shared" si="2"/>
        <v>3375900</v>
      </c>
      <c r="P20" s="191">
        <f t="shared" si="3"/>
        <v>-549219</v>
      </c>
      <c r="Q20" s="192">
        <f t="shared" si="4"/>
        <v>-0.6784370510997515</v>
      </c>
      <c r="R20" s="215">
        <v>-649464</v>
      </c>
      <c r="S20" s="196">
        <f t="shared" si="5"/>
        <v>-1.3624603147015142</v>
      </c>
      <c r="T20" s="200">
        <f t="shared" si="7"/>
        <v>100245</v>
      </c>
      <c r="U20" s="196">
        <f t="shared" si="6"/>
        <v>0.30117082061590444</v>
      </c>
    </row>
    <row r="21" spans="1:21" ht="20.25" customHeight="1">
      <c r="A21" s="350"/>
      <c r="B21" s="133">
        <v>11</v>
      </c>
      <c r="C21" s="146">
        <v>9933</v>
      </c>
      <c r="D21" s="147" t="s">
        <v>437</v>
      </c>
      <c r="E21" s="211">
        <v>2.0499999999999998</v>
      </c>
      <c r="F21" s="119" t="s">
        <v>507</v>
      </c>
      <c r="G21" s="148"/>
      <c r="H21" s="148">
        <v>120000</v>
      </c>
      <c r="I21" s="149"/>
      <c r="J21" s="161">
        <v>4.6441999999999997</v>
      </c>
      <c r="K21" s="150">
        <f>I21*G21</f>
        <v>0</v>
      </c>
      <c r="L21" s="207">
        <f>J21*H21</f>
        <v>557304</v>
      </c>
      <c r="M21" s="196">
        <f t="shared" si="1"/>
        <v>0.62643316826892814</v>
      </c>
      <c r="N21" s="167">
        <v>51.7</v>
      </c>
      <c r="O21" s="171">
        <f t="shared" si="2"/>
        <v>6204000</v>
      </c>
      <c r="P21" s="191">
        <f t="shared" si="3"/>
        <v>5646696</v>
      </c>
      <c r="Q21" s="192">
        <f t="shared" si="4"/>
        <v>6.9752280651193104</v>
      </c>
      <c r="R21" s="216">
        <v>2440680</v>
      </c>
      <c r="S21" s="196">
        <f t="shared" si="5"/>
        <v>5.1201138798850927</v>
      </c>
      <c r="T21" s="200">
        <f t="shared" si="7"/>
        <v>3206016</v>
      </c>
      <c r="U21" s="196">
        <f t="shared" si="6"/>
        <v>9.6319863297692603</v>
      </c>
    </row>
    <row r="22" spans="1:21" ht="20.25" customHeight="1">
      <c r="A22" s="350"/>
      <c r="B22" s="133">
        <v>12</v>
      </c>
      <c r="C22" s="146">
        <v>6505</v>
      </c>
      <c r="D22" s="147" t="s">
        <v>658</v>
      </c>
      <c r="E22" s="211">
        <v>2</v>
      </c>
      <c r="F22" s="119" t="s">
        <v>507</v>
      </c>
      <c r="G22" s="148"/>
      <c r="H22" s="148">
        <v>20000</v>
      </c>
      <c r="I22" s="149"/>
      <c r="J22" s="161">
        <v>62.84</v>
      </c>
      <c r="K22" s="150"/>
      <c r="L22" s="207">
        <f>J22*H22</f>
        <v>1256800</v>
      </c>
      <c r="M22" s="244">
        <f t="shared" si="1"/>
        <v>1.4126961333139345</v>
      </c>
      <c r="N22" s="167">
        <v>49.3</v>
      </c>
      <c r="O22" s="171">
        <f t="shared" si="2"/>
        <v>986000</v>
      </c>
      <c r="P22" s="245">
        <f t="shared" si="3"/>
        <v>-270800</v>
      </c>
      <c r="Q22" s="246">
        <f t="shared" si="4"/>
        <v>-0.33451274161639111</v>
      </c>
      <c r="R22" s="216">
        <v>-268421</v>
      </c>
      <c r="S22" s="244">
        <f t="shared" si="5"/>
        <v>-0.56309966392670741</v>
      </c>
      <c r="T22" s="207">
        <f t="shared" si="7"/>
        <v>-2379</v>
      </c>
      <c r="U22" s="244">
        <f t="shared" si="6"/>
        <v>-7.1473428325127099E-3</v>
      </c>
    </row>
    <row r="23" spans="1:21" ht="20.25" customHeight="1">
      <c r="A23" s="350"/>
      <c r="B23" s="133">
        <v>13</v>
      </c>
      <c r="C23" s="146"/>
      <c r="D23" s="147"/>
      <c r="E23" s="211"/>
      <c r="F23" s="119"/>
      <c r="G23" s="148"/>
      <c r="H23" s="148"/>
      <c r="I23" s="149"/>
      <c r="J23" s="161"/>
      <c r="K23" s="150"/>
      <c r="L23" s="207"/>
      <c r="M23" s="244"/>
      <c r="N23" s="167"/>
      <c r="O23" s="171"/>
      <c r="P23" s="245"/>
      <c r="Q23" s="246"/>
      <c r="R23" s="216"/>
      <c r="S23" s="244"/>
      <c r="T23" s="207"/>
      <c r="U23" s="244"/>
    </row>
    <row r="24" spans="1:21" ht="20.25" customHeight="1" thickBot="1">
      <c r="A24" s="351"/>
      <c r="B24" s="292">
        <v>14</v>
      </c>
      <c r="C24" s="151"/>
      <c r="D24" s="153"/>
      <c r="E24" s="292"/>
      <c r="F24" s="154"/>
      <c r="G24" s="293"/>
      <c r="H24" s="293"/>
      <c r="I24" s="156"/>
      <c r="J24" s="294"/>
      <c r="K24" s="158"/>
      <c r="L24" s="201"/>
      <c r="M24" s="295"/>
      <c r="N24" s="296"/>
      <c r="O24" s="297"/>
      <c r="P24" s="298"/>
      <c r="Q24" s="299"/>
      <c r="R24" s="300"/>
      <c r="S24" s="295"/>
      <c r="T24" s="201"/>
      <c r="U24" s="295"/>
    </row>
    <row r="25" spans="1:21" ht="14.1" customHeight="1">
      <c r="A25" s="334" t="s">
        <v>489</v>
      </c>
      <c r="B25" s="335"/>
      <c r="C25" s="335"/>
      <c r="D25" s="335"/>
      <c r="E25" s="336"/>
      <c r="F25" s="425">
        <f>O25+T27</f>
        <v>188969858.07381201</v>
      </c>
      <c r="G25" s="426">
        <f>B18+G20</f>
        <v>8</v>
      </c>
      <c r="H25" s="427">
        <f t="shared" ref="H25:H26" si="8">C18+H20</f>
        <v>184387</v>
      </c>
      <c r="I25" s="219"/>
      <c r="J25" s="428" t="s">
        <v>479</v>
      </c>
      <c r="K25" s="139"/>
      <c r="L25" s="429">
        <f>SUM(L12:L24)</f>
        <v>88964637.926188007</v>
      </c>
      <c r="M25" s="291"/>
      <c r="N25" s="430" t="s">
        <v>517</v>
      </c>
      <c r="O25" s="431">
        <f>SUM(O12:O24)</f>
        <v>155684761</v>
      </c>
      <c r="P25" s="432">
        <f>O25-L25</f>
        <v>66720123.073811993</v>
      </c>
      <c r="Q25" s="433">
        <f>SUM(Q12:Q24)</f>
        <v>82.417766951269883</v>
      </c>
      <c r="R25" s="434">
        <f>SUM(R12:R24)</f>
        <v>47668471</v>
      </c>
      <c r="S25" s="419">
        <f>SUM(S12:S21)</f>
        <v>100.56309966392672</v>
      </c>
      <c r="T25" s="420">
        <f>SUM(T12:T24)</f>
        <v>19051652.073812</v>
      </c>
      <c r="U25" s="421">
        <f>SUM(U12:U24)</f>
        <v>57.237784320002575</v>
      </c>
    </row>
    <row r="26" spans="1:21" ht="10.5" customHeight="1" thickBot="1">
      <c r="A26" s="337"/>
      <c r="B26" s="338"/>
      <c r="C26" s="338"/>
      <c r="D26" s="338"/>
      <c r="E26" s="339"/>
      <c r="F26" s="357" t="e">
        <f>#REF!+F21</f>
        <v>#REF!</v>
      </c>
      <c r="G26" s="358">
        <f>B19+G21</f>
        <v>9</v>
      </c>
      <c r="H26" s="359">
        <f t="shared" si="8"/>
        <v>125410</v>
      </c>
      <c r="I26" s="219"/>
      <c r="J26" s="367"/>
      <c r="K26" s="139"/>
      <c r="L26" s="406"/>
      <c r="M26" s="272"/>
      <c r="N26" s="411"/>
      <c r="O26" s="399"/>
      <c r="P26" s="385"/>
      <c r="Q26" s="409"/>
      <c r="R26" s="375"/>
      <c r="S26" s="404"/>
      <c r="T26" s="382"/>
      <c r="U26" s="380"/>
    </row>
    <row r="27" spans="1:21" ht="12.75" customHeight="1">
      <c r="A27" s="340" t="s">
        <v>490</v>
      </c>
      <c r="B27" s="341"/>
      <c r="C27" s="341"/>
      <c r="D27" s="341"/>
      <c r="E27" s="342"/>
      <c r="F27" s="360">
        <f>T30/L25</f>
        <v>2.1241007941896659</v>
      </c>
      <c r="G27" s="361"/>
      <c r="H27" s="362"/>
      <c r="I27" s="220"/>
      <c r="J27" s="352" t="s">
        <v>509</v>
      </c>
      <c r="K27" s="7"/>
      <c r="L27" s="247"/>
      <c r="M27" s="273"/>
      <c r="N27" s="412" t="s">
        <v>518</v>
      </c>
      <c r="O27" s="417">
        <v>154812385</v>
      </c>
      <c r="P27" s="384">
        <f>P25+P11</f>
        <v>80953568.073811993</v>
      </c>
      <c r="Q27" s="386">
        <f>Q25+Q11</f>
        <v>100</v>
      </c>
      <c r="R27" s="370">
        <f>R25</f>
        <v>47668471</v>
      </c>
      <c r="S27" s="280" t="s">
        <v>491</v>
      </c>
      <c r="T27" s="372">
        <f>T25+T11</f>
        <v>33285097.073812</v>
      </c>
      <c r="U27" s="281" t="s">
        <v>492</v>
      </c>
    </row>
    <row r="28" spans="1:21" ht="14.25" customHeight="1" thickBot="1">
      <c r="A28" s="343"/>
      <c r="B28" s="344"/>
      <c r="C28" s="344"/>
      <c r="D28" s="344"/>
      <c r="E28" s="345"/>
      <c r="F28" s="363"/>
      <c r="G28" s="364"/>
      <c r="H28" s="365"/>
      <c r="I28" s="220"/>
      <c r="J28" s="353"/>
      <c r="K28" s="7"/>
      <c r="L28" s="248"/>
      <c r="M28" s="274"/>
      <c r="N28" s="413"/>
      <c r="O28" s="418"/>
      <c r="P28" s="385"/>
      <c r="Q28" s="387"/>
      <c r="R28" s="371"/>
      <c r="S28" s="282">
        <f>R27/P27*100</f>
        <v>58.883718326703956</v>
      </c>
      <c r="T28" s="373"/>
      <c r="U28" s="283">
        <f>T27/P27*100</f>
        <v>41.116281673296044</v>
      </c>
    </row>
    <row r="29" spans="1:21" hidden="1">
      <c r="B29" s="7"/>
      <c r="C29" s="7"/>
      <c r="D29" s="140"/>
      <c r="E29" s="7"/>
      <c r="F29" s="7"/>
      <c r="G29" s="7"/>
      <c r="H29" s="7"/>
      <c r="I29" s="7"/>
      <c r="J29" s="7"/>
      <c r="K29" s="7"/>
      <c r="L29" s="141"/>
      <c r="M29" s="141"/>
      <c r="N29" s="275"/>
      <c r="O29" s="276"/>
      <c r="P29" s="277"/>
      <c r="Q29" s="274"/>
      <c r="R29" s="186"/>
      <c r="S29" s="187"/>
      <c r="T29" s="278"/>
      <c r="U29" s="279"/>
    </row>
    <row r="30" spans="1:21" hidden="1">
      <c r="B30" s="7"/>
      <c r="C30" s="7"/>
      <c r="D30" s="140"/>
      <c r="E30" s="7"/>
      <c r="F30" s="7"/>
      <c r="G30" s="7"/>
      <c r="H30" s="7"/>
      <c r="I30" s="7"/>
      <c r="J30" s="7"/>
      <c r="K30" s="7"/>
      <c r="L30" s="141"/>
      <c r="M30" s="141"/>
      <c r="N30" s="142"/>
      <c r="O30" s="173"/>
      <c r="P30" s="400" t="s">
        <v>489</v>
      </c>
      <c r="Q30" s="401"/>
      <c r="R30" s="401"/>
      <c r="S30" s="402"/>
      <c r="T30" s="221">
        <f>O25+T27</f>
        <v>188969858.07381201</v>
      </c>
      <c r="U30" s="141"/>
    </row>
    <row r="31" spans="1:21" hidden="1">
      <c r="B31" s="7"/>
      <c r="C31" s="7"/>
      <c r="D31" s="140"/>
      <c r="E31" s="7"/>
      <c r="F31" s="7"/>
      <c r="G31" s="7"/>
      <c r="H31" s="7"/>
      <c r="I31" s="7"/>
      <c r="J31" s="7"/>
      <c r="K31" s="7"/>
      <c r="L31" s="141"/>
      <c r="M31" s="141"/>
      <c r="N31" s="142"/>
      <c r="O31" s="173"/>
      <c r="P31" s="400" t="s">
        <v>490</v>
      </c>
      <c r="Q31" s="401"/>
      <c r="R31" s="401"/>
      <c r="S31" s="402"/>
      <c r="T31" s="222">
        <f>T30/L25</f>
        <v>2.1241007941896659</v>
      </c>
      <c r="U31" s="141"/>
    </row>
    <row r="32" spans="1:21" ht="17.45" customHeight="1">
      <c r="A32" s="143" t="s">
        <v>659</v>
      </c>
      <c r="D32" s="174"/>
      <c r="L32" s="175"/>
      <c r="M32" s="175"/>
      <c r="N32" s="176"/>
      <c r="O32" s="175"/>
      <c r="P32" s="177"/>
      <c r="Q32" s="177"/>
      <c r="R32" s="178"/>
      <c r="S32" s="178"/>
      <c r="T32" s="145" t="s">
        <v>399</v>
      </c>
      <c r="U32" s="175"/>
    </row>
    <row r="33" spans="1:21" ht="6.75" customHeight="1">
      <c r="C33" s="144"/>
    </row>
    <row r="34" spans="1:21" ht="18.75" customHeight="1">
      <c r="A34" s="7"/>
      <c r="B34" s="122"/>
      <c r="C34" s="122"/>
      <c r="D34" s="122"/>
      <c r="E34" s="390" t="s">
        <v>493</v>
      </c>
      <c r="F34" s="390"/>
      <c r="G34" s="209"/>
      <c r="H34" s="395" t="s">
        <v>583</v>
      </c>
      <c r="I34" s="396"/>
      <c r="J34" s="396"/>
      <c r="K34" s="396"/>
      <c r="L34" s="396"/>
      <c r="M34" s="396"/>
      <c r="N34" s="396"/>
      <c r="O34" s="397"/>
      <c r="P34" s="376" t="s">
        <v>380</v>
      </c>
      <c r="Q34" s="377"/>
      <c r="R34" s="377"/>
      <c r="S34" s="377"/>
      <c r="T34" s="377"/>
      <c r="U34" s="378"/>
    </row>
    <row r="35" spans="1:21" ht="20.25" customHeight="1">
      <c r="A35" s="7"/>
      <c r="B35" s="383" t="s">
        <v>381</v>
      </c>
      <c r="C35" s="378"/>
      <c r="D35" s="123" t="s">
        <v>382</v>
      </c>
      <c r="E35" s="123" t="s">
        <v>383</v>
      </c>
      <c r="F35" s="123" t="s">
        <v>384</v>
      </c>
      <c r="G35" s="123"/>
      <c r="H35" s="394" t="s">
        <v>377</v>
      </c>
      <c r="I35" s="394"/>
      <c r="J35" s="394" t="s">
        <v>378</v>
      </c>
      <c r="K35" s="394"/>
      <c r="L35" s="193" t="s">
        <v>482</v>
      </c>
      <c r="M35" s="189" t="s">
        <v>480</v>
      </c>
      <c r="N35" s="208" t="s">
        <v>379</v>
      </c>
      <c r="O35" s="210" t="s">
        <v>481</v>
      </c>
      <c r="P35" s="188" t="s">
        <v>386</v>
      </c>
      <c r="Q35" s="189" t="s">
        <v>480</v>
      </c>
      <c r="R35" s="193" t="s">
        <v>385</v>
      </c>
      <c r="S35" s="189" t="s">
        <v>480</v>
      </c>
      <c r="T35" s="197" t="s">
        <v>486</v>
      </c>
      <c r="U35" s="189" t="s">
        <v>480</v>
      </c>
    </row>
    <row r="36" spans="1:21" ht="20.25" customHeight="1">
      <c r="A36" s="349" t="s">
        <v>572</v>
      </c>
      <c r="B36" s="133">
        <v>1</v>
      </c>
      <c r="C36" s="146" t="s">
        <v>573</v>
      </c>
      <c r="D36" s="147" t="s">
        <v>574</v>
      </c>
      <c r="E36" s="211"/>
      <c r="F36" s="119"/>
      <c r="G36" s="148"/>
      <c r="H36" s="148">
        <v>10000</v>
      </c>
      <c r="I36" s="149"/>
      <c r="J36" s="287">
        <v>2316.42</v>
      </c>
      <c r="K36" s="150"/>
      <c r="L36" s="207">
        <f>H36*J36</f>
        <v>23164200</v>
      </c>
      <c r="M36" s="244"/>
      <c r="N36" s="167">
        <v>2455</v>
      </c>
      <c r="O36" s="171">
        <f>N36*H36</f>
        <v>24550000</v>
      </c>
      <c r="P36" s="245">
        <f>O36-L36</f>
        <v>1385800</v>
      </c>
      <c r="Q36" s="246"/>
      <c r="R36" s="216"/>
      <c r="S36" s="244"/>
      <c r="T36" s="207"/>
      <c r="U36" s="244"/>
    </row>
    <row r="37" spans="1:21" ht="17.25" thickBot="1">
      <c r="A37" s="351"/>
      <c r="B37" s="151">
        <v>2</v>
      </c>
      <c r="C37" s="152"/>
      <c r="D37" s="153"/>
      <c r="E37" s="154"/>
      <c r="F37" s="154"/>
      <c r="G37" s="155"/>
      <c r="H37" s="155"/>
      <c r="I37" s="156"/>
      <c r="J37" s="157"/>
      <c r="K37" s="158"/>
      <c r="L37" s="201"/>
      <c r="M37" s="202"/>
      <c r="N37" s="159"/>
      <c r="O37" s="172"/>
      <c r="P37" s="301"/>
      <c r="Q37" s="302"/>
      <c r="R37" s="303"/>
      <c r="S37" s="304"/>
      <c r="T37" s="201"/>
      <c r="U37" s="202"/>
    </row>
    <row r="38" spans="1:21">
      <c r="A38" s="143"/>
      <c r="C38" s="144"/>
      <c r="U38" s="145"/>
    </row>
    <row r="40" spans="1:21">
      <c r="B40" s="143"/>
    </row>
    <row r="41" spans="1:21" hidden="1"/>
    <row r="42" spans="1:21" hidden="1">
      <c r="B42" s="143" t="s">
        <v>487</v>
      </c>
    </row>
    <row r="43" spans="1:21" hidden="1">
      <c r="B43" s="143" t="s">
        <v>488</v>
      </c>
    </row>
  </sheetData>
  <mergeCells count="43">
    <mergeCell ref="E4:F4"/>
    <mergeCell ref="H4:O4"/>
    <mergeCell ref="P4:U4"/>
    <mergeCell ref="E3:F3"/>
    <mergeCell ref="L3:M3"/>
    <mergeCell ref="P3:Q3"/>
    <mergeCell ref="R3:S3"/>
    <mergeCell ref="T3:U3"/>
    <mergeCell ref="B5:C5"/>
    <mergeCell ref="H5:I5"/>
    <mergeCell ref="J5:K5"/>
    <mergeCell ref="A6:A11"/>
    <mergeCell ref="A25:E26"/>
    <mergeCell ref="F25:H26"/>
    <mergeCell ref="J25:J26"/>
    <mergeCell ref="A12:A24"/>
    <mergeCell ref="S25:S26"/>
    <mergeCell ref="T25:T26"/>
    <mergeCell ref="U25:U26"/>
    <mergeCell ref="F27:H28"/>
    <mergeCell ref="J27:J28"/>
    <mergeCell ref="N27:N28"/>
    <mergeCell ref="O27:O28"/>
    <mergeCell ref="P27:P28"/>
    <mergeCell ref="Q27:Q28"/>
    <mergeCell ref="L25:L26"/>
    <mergeCell ref="N25:N26"/>
    <mergeCell ref="O25:O26"/>
    <mergeCell ref="P25:P26"/>
    <mergeCell ref="Q25:Q26"/>
    <mergeCell ref="R25:R26"/>
    <mergeCell ref="T27:T28"/>
    <mergeCell ref="A36:A37"/>
    <mergeCell ref="A27:E28"/>
    <mergeCell ref="E34:F34"/>
    <mergeCell ref="H34:O34"/>
    <mergeCell ref="R27:R28"/>
    <mergeCell ref="P30:S30"/>
    <mergeCell ref="P31:S31"/>
    <mergeCell ref="B35:C35"/>
    <mergeCell ref="H35:I35"/>
    <mergeCell ref="J35:K35"/>
    <mergeCell ref="P34:U34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4"/>
  <sheetViews>
    <sheetView topLeftCell="A4" zoomScale="85" zoomScaleNormal="85" workbookViewId="0">
      <selection activeCell="O12" sqref="O12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875" customWidth="1"/>
    <col min="15" max="15" width="14.5" customWidth="1"/>
    <col min="16" max="16" width="14.625" customWidth="1"/>
    <col min="17" max="17" width="7.25" customWidth="1"/>
    <col min="18" max="18" width="12.2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514</v>
      </c>
    </row>
    <row r="3" spans="1:23" ht="17.45" customHeight="1">
      <c r="A3" s="7"/>
      <c r="B3" s="72"/>
      <c r="C3" s="72"/>
      <c r="D3" s="72"/>
      <c r="E3" s="388"/>
      <c r="F3" s="389"/>
      <c r="G3" s="72"/>
      <c r="H3" s="72" t="s">
        <v>372</v>
      </c>
      <c r="I3" s="72"/>
      <c r="J3" s="72" t="s">
        <v>373</v>
      </c>
      <c r="K3" s="6"/>
      <c r="L3" s="391" t="s">
        <v>374</v>
      </c>
      <c r="M3" s="392"/>
      <c r="N3" s="120" t="s">
        <v>375</v>
      </c>
      <c r="O3" s="168" t="s">
        <v>376</v>
      </c>
      <c r="P3" s="393" t="s">
        <v>483</v>
      </c>
      <c r="Q3" s="392"/>
      <c r="R3" s="383" t="s">
        <v>484</v>
      </c>
      <c r="S3" s="378"/>
      <c r="T3" s="368" t="s">
        <v>485</v>
      </c>
      <c r="U3" s="369"/>
    </row>
    <row r="4" spans="1:23" ht="18.75" customHeight="1">
      <c r="A4" s="7"/>
      <c r="B4" s="122"/>
      <c r="C4" s="122"/>
      <c r="D4" s="122"/>
      <c r="E4" s="390" t="s">
        <v>493</v>
      </c>
      <c r="F4" s="390"/>
      <c r="G4" s="209"/>
      <c r="H4" s="435" t="s">
        <v>515</v>
      </c>
      <c r="I4" s="436"/>
      <c r="J4" s="436"/>
      <c r="K4" s="436"/>
      <c r="L4" s="436"/>
      <c r="M4" s="436"/>
      <c r="N4" s="436"/>
      <c r="O4" s="437"/>
      <c r="P4" s="376" t="s">
        <v>380</v>
      </c>
      <c r="Q4" s="377"/>
      <c r="R4" s="377"/>
      <c r="S4" s="377"/>
      <c r="T4" s="377"/>
      <c r="U4" s="378"/>
    </row>
    <row r="5" spans="1:23" ht="20.25" customHeight="1">
      <c r="A5" s="7"/>
      <c r="B5" s="383" t="s">
        <v>381</v>
      </c>
      <c r="C5" s="378"/>
      <c r="D5" s="123" t="s">
        <v>382</v>
      </c>
      <c r="E5" s="123" t="s">
        <v>383</v>
      </c>
      <c r="F5" s="123" t="s">
        <v>384</v>
      </c>
      <c r="G5" s="123"/>
      <c r="H5" s="394" t="s">
        <v>377</v>
      </c>
      <c r="I5" s="394"/>
      <c r="J5" s="394" t="s">
        <v>378</v>
      </c>
      <c r="K5" s="394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46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T6/$P$32*100</f>
        <v>1.3174082585170219</v>
      </c>
      <c r="R6" s="250">
        <v>0</v>
      </c>
      <c r="S6" s="251">
        <f>R6/$R$32*100</f>
        <v>0</v>
      </c>
      <c r="T6" s="252">
        <v>813975</v>
      </c>
      <c r="U6" s="253">
        <f>T6/$T$32*100</f>
        <v>3.9938651499291664</v>
      </c>
    </row>
    <row r="7" spans="1:23" ht="20.25" customHeight="1">
      <c r="A7" s="347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>T7/$P$32*100</f>
        <v>10.601496907584536</v>
      </c>
      <c r="R7" s="240">
        <v>0</v>
      </c>
      <c r="S7" s="241">
        <f>R7/$R$32*100</f>
        <v>0</v>
      </c>
      <c r="T7" s="242">
        <v>6550250</v>
      </c>
      <c r="U7" s="243">
        <f>T7/$T$32*100</f>
        <v>32.139580697593317</v>
      </c>
    </row>
    <row r="8" spans="1:23" ht="20.25" customHeight="1">
      <c r="A8" s="347"/>
      <c r="B8" s="123">
        <v>3</v>
      </c>
      <c r="C8" s="123"/>
      <c r="D8" s="124"/>
      <c r="E8" s="103"/>
      <c r="F8" s="103"/>
      <c r="G8" s="125"/>
      <c r="H8" s="125"/>
      <c r="I8" s="126"/>
      <c r="J8" s="126"/>
      <c r="K8" s="127"/>
      <c r="L8" s="200"/>
      <c r="M8" s="237"/>
      <c r="N8" s="238"/>
      <c r="O8" s="169"/>
      <c r="P8" s="239"/>
      <c r="Q8" s="190"/>
      <c r="R8" s="240"/>
      <c r="S8" s="241"/>
      <c r="T8" s="242"/>
      <c r="U8" s="243"/>
    </row>
    <row r="9" spans="1:23" ht="20.25" customHeight="1">
      <c r="A9" s="347"/>
      <c r="B9" s="123">
        <v>4</v>
      </c>
      <c r="C9" s="123"/>
      <c r="D9" s="124"/>
      <c r="E9" s="103"/>
      <c r="F9" s="103"/>
      <c r="G9" s="125"/>
      <c r="H9" s="125"/>
      <c r="I9" s="126"/>
      <c r="J9" s="126"/>
      <c r="K9" s="127"/>
      <c r="L9" s="200"/>
      <c r="M9" s="237"/>
      <c r="N9" s="238"/>
      <c r="O9" s="169"/>
      <c r="P9" s="239"/>
      <c r="Q9" s="190"/>
      <c r="R9" s="240"/>
      <c r="S9" s="241"/>
      <c r="T9" s="242"/>
      <c r="U9" s="243"/>
    </row>
    <row r="10" spans="1:23" ht="20.25" customHeight="1" thickBot="1">
      <c r="A10" s="347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48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SUM(P6:P7)</f>
        <v>7364225</v>
      </c>
      <c r="Q11" s="218">
        <f>T11/$P$32*100</f>
        <v>11.918905166101558</v>
      </c>
      <c r="R11" s="194">
        <f>SUM(R6:R7)</f>
        <v>0</v>
      </c>
      <c r="S11" s="195">
        <f>SUM(S6:S7)</f>
        <v>0</v>
      </c>
      <c r="T11" s="214">
        <f>SUM(T6:T7)</f>
        <v>7364225</v>
      </c>
      <c r="U11" s="213">
        <f>SUM(U6:U7)</f>
        <v>36.133445847522481</v>
      </c>
    </row>
    <row r="12" spans="1:23" ht="20.25" customHeight="1">
      <c r="A12" s="349" t="s">
        <v>513</v>
      </c>
      <c r="B12" s="133">
        <v>1</v>
      </c>
      <c r="C12" s="133" t="s">
        <v>387</v>
      </c>
      <c r="D12" s="124" t="s">
        <v>155</v>
      </c>
      <c r="E12" s="103">
        <v>0.7</v>
      </c>
      <c r="F12" s="103">
        <v>0</v>
      </c>
      <c r="G12" s="134"/>
      <c r="H12" s="134">
        <v>100000</v>
      </c>
      <c r="I12" s="126"/>
      <c r="J12" s="160">
        <v>18.77</v>
      </c>
      <c r="K12" s="127">
        <f t="shared" ref="K12:L22" si="0">I12*G12</f>
        <v>0</v>
      </c>
      <c r="L12" s="200">
        <f t="shared" si="0"/>
        <v>1877000</v>
      </c>
      <c r="M12" s="196">
        <f>L12/$L$30*100</f>
        <v>1.9352514565105388</v>
      </c>
      <c r="N12" s="254">
        <v>39.08</v>
      </c>
      <c r="O12" s="170">
        <f t="shared" ref="O12:O23" si="1">ROUND(N12*H12,0)</f>
        <v>3908000</v>
      </c>
      <c r="P12" s="191">
        <f t="shared" ref="P12:P23" si="2">O12-L12</f>
        <v>2031000</v>
      </c>
      <c r="Q12" s="192">
        <f t="shared" ref="Q12:Q23" si="3">P12/$P$32*100</f>
        <v>3.2871478522658211</v>
      </c>
      <c r="R12" s="256">
        <v>1100751</v>
      </c>
      <c r="S12" s="196">
        <f>R12/$R$32*100</f>
        <v>2.6584686804416799</v>
      </c>
      <c r="T12" s="200">
        <f>P12-R12</f>
        <v>930249</v>
      </c>
      <c r="U12" s="196">
        <f>T12/$T$32*100</f>
        <v>4.564377360307696</v>
      </c>
      <c r="W12" s="136"/>
    </row>
    <row r="13" spans="1:23" ht="20.25" customHeight="1">
      <c r="A13" s="350"/>
      <c r="B13" s="133">
        <v>2</v>
      </c>
      <c r="C13" s="133" t="s">
        <v>446</v>
      </c>
      <c r="D13" s="124" t="s">
        <v>447</v>
      </c>
      <c r="E13" s="103">
        <v>0.31</v>
      </c>
      <c r="F13" s="103">
        <v>0</v>
      </c>
      <c r="G13" s="134"/>
      <c r="H13" s="134">
        <v>400000</v>
      </c>
      <c r="I13" s="126"/>
      <c r="J13" s="160">
        <v>28.916</v>
      </c>
      <c r="K13" s="127">
        <f>I13*G13</f>
        <v>0</v>
      </c>
      <c r="L13" s="200">
        <f>J13*H13</f>
        <v>11566400</v>
      </c>
      <c r="M13" s="196">
        <f t="shared" ref="M13:M23" si="4">L13/$L$30*100</f>
        <v>11.925355592212837</v>
      </c>
      <c r="N13" s="254">
        <v>29.81</v>
      </c>
      <c r="O13" s="170">
        <f t="shared" si="1"/>
        <v>11924000</v>
      </c>
      <c r="P13" s="191">
        <f t="shared" si="2"/>
        <v>357600</v>
      </c>
      <c r="Q13" s="192">
        <f t="shared" si="3"/>
        <v>0.57877108418033363</v>
      </c>
      <c r="R13" s="256">
        <v>207478</v>
      </c>
      <c r="S13" s="196">
        <f t="shared" ref="S13:S23" si="5">R13/$R$32*100</f>
        <v>0.50108858850064997</v>
      </c>
      <c r="T13" s="200">
        <f t="shared" ref="T13:T23" si="6">P13-R13</f>
        <v>150122</v>
      </c>
      <c r="U13" s="196">
        <f t="shared" ref="U13:U23" si="7">T13/$T$32*100</f>
        <v>0.73659144818657363</v>
      </c>
    </row>
    <row r="14" spans="1:23" ht="20.25" customHeight="1">
      <c r="A14" s="350"/>
      <c r="B14" s="133">
        <v>3</v>
      </c>
      <c r="C14" s="135" t="s">
        <v>389</v>
      </c>
      <c r="D14" s="124" t="s">
        <v>390</v>
      </c>
      <c r="E14" s="103" t="s">
        <v>507</v>
      </c>
      <c r="F14" s="103" t="s">
        <v>507</v>
      </c>
      <c r="G14" s="125"/>
      <c r="H14" s="125">
        <v>488000</v>
      </c>
      <c r="I14" s="126"/>
      <c r="J14" s="160">
        <v>11.565</v>
      </c>
      <c r="K14" s="127">
        <f t="shared" si="0"/>
        <v>0</v>
      </c>
      <c r="L14" s="200">
        <f t="shared" si="0"/>
        <v>5643720</v>
      </c>
      <c r="M14" s="196">
        <f t="shared" si="4"/>
        <v>5.8188691263386563</v>
      </c>
      <c r="N14" s="254">
        <v>21.22</v>
      </c>
      <c r="O14" s="169">
        <f t="shared" si="1"/>
        <v>10355360</v>
      </c>
      <c r="P14" s="191">
        <f t="shared" si="2"/>
        <v>4711640</v>
      </c>
      <c r="Q14" s="192">
        <f t="shared" si="3"/>
        <v>7.6257298407925802</v>
      </c>
      <c r="R14" s="256">
        <v>4569171</v>
      </c>
      <c r="S14" s="196">
        <f t="shared" si="5"/>
        <v>11.0351914275639</v>
      </c>
      <c r="T14" s="200">
        <f t="shared" si="6"/>
        <v>142469</v>
      </c>
      <c r="U14" s="196">
        <f t="shared" si="7"/>
        <v>0.6990410934552761</v>
      </c>
    </row>
    <row r="15" spans="1:23" ht="20.25" customHeight="1">
      <c r="A15" s="350"/>
      <c r="B15" s="133">
        <v>4</v>
      </c>
      <c r="C15" s="135" t="s">
        <v>391</v>
      </c>
      <c r="D15" s="124" t="s">
        <v>392</v>
      </c>
      <c r="E15" s="103" t="s">
        <v>498</v>
      </c>
      <c r="F15" s="103" t="s">
        <v>498</v>
      </c>
      <c r="G15" s="134"/>
      <c r="H15" s="134">
        <v>230000</v>
      </c>
      <c r="I15" s="126"/>
      <c r="J15" s="160">
        <v>12.726000000000001</v>
      </c>
      <c r="K15" s="127">
        <f>I15*G15</f>
        <v>0</v>
      </c>
      <c r="L15" s="200">
        <f>J15*H15</f>
        <v>2926980</v>
      </c>
      <c r="M15" s="196">
        <f t="shared" si="4"/>
        <v>3.0178168930086398</v>
      </c>
      <c r="N15" s="254">
        <v>20.76</v>
      </c>
      <c r="O15" s="170">
        <f t="shared" si="1"/>
        <v>4774800</v>
      </c>
      <c r="P15" s="191">
        <f t="shared" si="2"/>
        <v>1847820</v>
      </c>
      <c r="Q15" s="192">
        <f t="shared" si="3"/>
        <v>2.9906733354868682</v>
      </c>
      <c r="R15" s="256">
        <v>1435324</v>
      </c>
      <c r="S15" s="196">
        <f t="shared" si="5"/>
        <v>3.4665095923476552</v>
      </c>
      <c r="T15" s="200">
        <f t="shared" si="6"/>
        <v>412496</v>
      </c>
      <c r="U15" s="196">
        <f t="shared" si="7"/>
        <v>2.0239606853836802</v>
      </c>
    </row>
    <row r="16" spans="1:23" ht="20.25" customHeight="1">
      <c r="A16" s="350"/>
      <c r="B16" s="133">
        <v>5</v>
      </c>
      <c r="C16" s="123">
        <v>1216</v>
      </c>
      <c r="D16" s="124" t="s">
        <v>443</v>
      </c>
      <c r="E16" s="133" t="s">
        <v>497</v>
      </c>
      <c r="F16" s="103" t="s">
        <v>507</v>
      </c>
      <c r="G16" s="134"/>
      <c r="H16" s="134">
        <v>30000</v>
      </c>
      <c r="I16" s="126"/>
      <c r="J16" s="160">
        <v>67.742999999999995</v>
      </c>
      <c r="K16" s="127"/>
      <c r="L16" s="200">
        <f>J16*H16</f>
        <v>2032289.9999999998</v>
      </c>
      <c r="M16" s="196">
        <f t="shared" si="4"/>
        <v>2.095360779196485</v>
      </c>
      <c r="N16" s="254">
        <v>78</v>
      </c>
      <c r="O16" s="170">
        <f t="shared" si="1"/>
        <v>2340000</v>
      </c>
      <c r="P16" s="191">
        <f t="shared" si="2"/>
        <v>307710.00000000023</v>
      </c>
      <c r="Q16" s="192">
        <f t="shared" si="3"/>
        <v>0.49802474919779249</v>
      </c>
      <c r="R16" s="256">
        <v>295753</v>
      </c>
      <c r="S16" s="196">
        <f t="shared" si="5"/>
        <v>0.71428514500251938</v>
      </c>
      <c r="T16" s="200">
        <f t="shared" si="6"/>
        <v>11957.000000000233</v>
      </c>
      <c r="U16" s="196">
        <f t="shared" si="7"/>
        <v>5.866844263976654E-2</v>
      </c>
    </row>
    <row r="17" spans="1:21" ht="20.25" customHeight="1">
      <c r="A17" s="350"/>
      <c r="B17" s="133">
        <v>6</v>
      </c>
      <c r="C17" s="123">
        <v>2535</v>
      </c>
      <c r="D17" s="124" t="s">
        <v>393</v>
      </c>
      <c r="E17" s="133" t="s">
        <v>497</v>
      </c>
      <c r="F17" s="103" t="s">
        <v>507</v>
      </c>
      <c r="G17" s="134"/>
      <c r="H17" s="134">
        <v>400000</v>
      </c>
      <c r="I17" s="126"/>
      <c r="J17" s="160">
        <v>15.254</v>
      </c>
      <c r="K17" s="127">
        <f t="shared" si="0"/>
        <v>0</v>
      </c>
      <c r="L17" s="200">
        <f t="shared" si="0"/>
        <v>6101600</v>
      </c>
      <c r="M17" s="196">
        <f t="shared" si="4"/>
        <v>6.2909591300184893</v>
      </c>
      <c r="N17" s="254">
        <v>51.2</v>
      </c>
      <c r="O17" s="170">
        <f t="shared" si="1"/>
        <v>20480000</v>
      </c>
      <c r="P17" s="191">
        <f t="shared" si="2"/>
        <v>14378400</v>
      </c>
      <c r="Q17" s="192">
        <f t="shared" si="3"/>
        <v>23.271258827680395</v>
      </c>
      <c r="R17" s="256">
        <v>9070484</v>
      </c>
      <c r="S17" s="196">
        <f t="shared" si="5"/>
        <v>21.906496228890433</v>
      </c>
      <c r="T17" s="200">
        <f t="shared" si="6"/>
        <v>5307916</v>
      </c>
      <c r="U17" s="196">
        <f t="shared" si="7"/>
        <v>26.043921166069499</v>
      </c>
    </row>
    <row r="18" spans="1:21" ht="20.25" customHeight="1">
      <c r="A18" s="350"/>
      <c r="B18" s="133">
        <v>7</v>
      </c>
      <c r="C18" s="123">
        <v>2834</v>
      </c>
      <c r="D18" s="124" t="s">
        <v>394</v>
      </c>
      <c r="E18" s="133" t="s">
        <v>499</v>
      </c>
      <c r="F18" s="133" t="s">
        <v>499</v>
      </c>
      <c r="G18" s="134"/>
      <c r="H18" s="134">
        <v>3503615</v>
      </c>
      <c r="I18" s="126"/>
      <c r="J18" s="160">
        <v>9.4079999999999995</v>
      </c>
      <c r="K18" s="127">
        <f t="shared" si="0"/>
        <v>0</v>
      </c>
      <c r="L18" s="200">
        <f t="shared" si="0"/>
        <v>32962009.919999998</v>
      </c>
      <c r="M18" s="196">
        <f t="shared" si="4"/>
        <v>33.984964148745242</v>
      </c>
      <c r="N18" s="254">
        <v>15.05</v>
      </c>
      <c r="O18" s="170">
        <f t="shared" si="1"/>
        <v>52729406</v>
      </c>
      <c r="P18" s="191">
        <f t="shared" si="2"/>
        <v>19767396.080000002</v>
      </c>
      <c r="Q18" s="192">
        <f t="shared" si="3"/>
        <v>31.993280930211625</v>
      </c>
      <c r="R18" s="256">
        <v>17677583</v>
      </c>
      <c r="S18" s="196">
        <f t="shared" si="5"/>
        <v>42.693852425669633</v>
      </c>
      <c r="T18" s="200">
        <f t="shared" si="6"/>
        <v>2089813.0800000019</v>
      </c>
      <c r="U18" s="196">
        <f t="shared" si="7"/>
        <v>10.253916434875936</v>
      </c>
    </row>
    <row r="19" spans="1:21" ht="20.25" customHeight="1">
      <c r="A19" s="350"/>
      <c r="B19" s="133">
        <v>8</v>
      </c>
      <c r="C19" s="135">
        <v>2884</v>
      </c>
      <c r="D19" s="124" t="s">
        <v>395</v>
      </c>
      <c r="E19" s="133" t="s">
        <v>500</v>
      </c>
      <c r="F19" s="133" t="s">
        <v>501</v>
      </c>
      <c r="G19" s="134"/>
      <c r="H19" s="134">
        <v>515629</v>
      </c>
      <c r="I19" s="126"/>
      <c r="J19" s="160">
        <v>23.53</v>
      </c>
      <c r="K19" s="127"/>
      <c r="L19" s="200">
        <f>J19*H19</f>
        <v>12132750.370000001</v>
      </c>
      <c r="M19" s="196">
        <f t="shared" si="4"/>
        <v>12.50928227225428</v>
      </c>
      <c r="N19" s="254">
        <v>25.7</v>
      </c>
      <c r="O19" s="170">
        <f t="shared" si="1"/>
        <v>13251665</v>
      </c>
      <c r="P19" s="191">
        <f t="shared" si="2"/>
        <v>1118914.629999999</v>
      </c>
      <c r="Q19" s="192">
        <f t="shared" si="3"/>
        <v>1.8109491988544077</v>
      </c>
      <c r="R19" s="256">
        <v>956879</v>
      </c>
      <c r="S19" s="196">
        <f t="shared" si="5"/>
        <v>2.3109975393820714</v>
      </c>
      <c r="T19" s="200">
        <f t="shared" si="6"/>
        <v>162035.62999999896</v>
      </c>
      <c r="U19" s="196">
        <f t="shared" si="7"/>
        <v>0.79504709076299962</v>
      </c>
    </row>
    <row r="20" spans="1:21" ht="20.25" customHeight="1">
      <c r="A20" s="350"/>
      <c r="B20" s="133">
        <v>9</v>
      </c>
      <c r="C20" s="123">
        <v>2887</v>
      </c>
      <c r="D20" s="124" t="s">
        <v>90</v>
      </c>
      <c r="E20" s="133" t="s">
        <v>502</v>
      </c>
      <c r="F20" s="133" t="s">
        <v>503</v>
      </c>
      <c r="G20" s="134"/>
      <c r="H20" s="134">
        <v>884449</v>
      </c>
      <c r="I20" s="126"/>
      <c r="J20" s="160">
        <v>13.222</v>
      </c>
      <c r="K20" s="127">
        <f t="shared" si="0"/>
        <v>0</v>
      </c>
      <c r="L20" s="200">
        <f t="shared" si="0"/>
        <v>11694184.677999999</v>
      </c>
      <c r="M20" s="196">
        <f t="shared" si="4"/>
        <v>12.057105983379182</v>
      </c>
      <c r="N20" s="254">
        <v>17.95</v>
      </c>
      <c r="O20" s="170">
        <f t="shared" si="1"/>
        <v>15875860</v>
      </c>
      <c r="P20" s="191">
        <f t="shared" si="2"/>
        <v>4181675.3220000006</v>
      </c>
      <c r="Q20" s="192">
        <f t="shared" si="3"/>
        <v>6.7679887019129916</v>
      </c>
      <c r="R20" s="256">
        <v>2756583</v>
      </c>
      <c r="S20" s="196">
        <f t="shared" si="5"/>
        <v>6.6575361462655653</v>
      </c>
      <c r="T20" s="200">
        <f t="shared" si="6"/>
        <v>1425092.3220000006</v>
      </c>
      <c r="U20" s="196">
        <f t="shared" si="7"/>
        <v>6.9923849752970737</v>
      </c>
    </row>
    <row r="21" spans="1:21" ht="20.25" customHeight="1">
      <c r="A21" s="350"/>
      <c r="B21" s="133">
        <v>10</v>
      </c>
      <c r="C21" s="123">
        <v>5410</v>
      </c>
      <c r="D21" s="124" t="s">
        <v>397</v>
      </c>
      <c r="E21" s="133" t="s">
        <v>506</v>
      </c>
      <c r="F21" s="103" t="s">
        <v>507</v>
      </c>
      <c r="G21" s="134"/>
      <c r="H21" s="134">
        <v>145000</v>
      </c>
      <c r="I21" s="126"/>
      <c r="J21" s="160">
        <v>15.99</v>
      </c>
      <c r="K21" s="127">
        <f t="shared" si="0"/>
        <v>0</v>
      </c>
      <c r="L21" s="200">
        <f t="shared" si="0"/>
        <v>2318550</v>
      </c>
      <c r="M21" s="196">
        <f t="shared" si="4"/>
        <v>2.3905046694152956</v>
      </c>
      <c r="N21" s="254">
        <v>33.85</v>
      </c>
      <c r="O21" s="170">
        <f t="shared" si="1"/>
        <v>4908250</v>
      </c>
      <c r="P21" s="191">
        <f t="shared" si="2"/>
        <v>2589700</v>
      </c>
      <c r="Q21" s="192">
        <f t="shared" si="3"/>
        <v>4.1913967469289988</v>
      </c>
      <c r="R21" s="256">
        <v>1686751</v>
      </c>
      <c r="S21" s="196">
        <f t="shared" si="5"/>
        <v>4.0737412050533539</v>
      </c>
      <c r="T21" s="200">
        <f t="shared" si="6"/>
        <v>902949</v>
      </c>
      <c r="U21" s="196">
        <f t="shared" si="7"/>
        <v>4.430426663304635</v>
      </c>
    </row>
    <row r="22" spans="1:21" ht="20.25" customHeight="1">
      <c r="A22" s="350"/>
      <c r="B22" s="133">
        <v>11</v>
      </c>
      <c r="C22" s="135">
        <v>5864</v>
      </c>
      <c r="D22" s="124" t="s">
        <v>398</v>
      </c>
      <c r="E22" s="133" t="s">
        <v>504</v>
      </c>
      <c r="F22" s="103" t="s">
        <v>507</v>
      </c>
      <c r="G22" s="134"/>
      <c r="H22" s="134">
        <v>165000</v>
      </c>
      <c r="I22" s="126"/>
      <c r="J22" s="160">
        <v>24.288</v>
      </c>
      <c r="K22" s="127"/>
      <c r="L22" s="200">
        <f t="shared" si="0"/>
        <v>4007520</v>
      </c>
      <c r="M22" s="196">
        <f t="shared" si="4"/>
        <v>4.1318907389425226</v>
      </c>
      <c r="N22" s="254">
        <v>17.8</v>
      </c>
      <c r="O22" s="170">
        <f t="shared" si="1"/>
        <v>2937000</v>
      </c>
      <c r="P22" s="191">
        <f t="shared" si="2"/>
        <v>-1070520</v>
      </c>
      <c r="Q22" s="192">
        <f t="shared" si="3"/>
        <v>-1.7326231013331397</v>
      </c>
      <c r="R22" s="256">
        <v>-1086422</v>
      </c>
      <c r="S22" s="196">
        <f t="shared" si="5"/>
        <v>-2.6238621275318494</v>
      </c>
      <c r="T22" s="200">
        <f t="shared" si="6"/>
        <v>15902</v>
      </c>
      <c r="U22" s="196">
        <f t="shared" si="7"/>
        <v>7.8025054349548317E-2</v>
      </c>
    </row>
    <row r="23" spans="1:21" ht="20.25" customHeight="1">
      <c r="A23" s="350"/>
      <c r="B23" s="133">
        <v>12</v>
      </c>
      <c r="C23" s="146">
        <v>9933</v>
      </c>
      <c r="D23" s="147" t="s">
        <v>437</v>
      </c>
      <c r="E23" s="211" t="s">
        <v>505</v>
      </c>
      <c r="F23" s="119" t="s">
        <v>507</v>
      </c>
      <c r="G23" s="148"/>
      <c r="H23" s="148">
        <v>175000</v>
      </c>
      <c r="I23" s="149"/>
      <c r="J23" s="161">
        <v>21.297000000000001</v>
      </c>
      <c r="K23" s="150">
        <f>I23*G23</f>
        <v>0</v>
      </c>
      <c r="L23" s="207">
        <f>J23*H23</f>
        <v>3726975</v>
      </c>
      <c r="M23" s="196">
        <f t="shared" si="4"/>
        <v>3.8426392099778184</v>
      </c>
      <c r="N23" s="255">
        <v>45.3</v>
      </c>
      <c r="O23" s="171">
        <f t="shared" si="1"/>
        <v>7927500</v>
      </c>
      <c r="P23" s="191">
        <f t="shared" si="2"/>
        <v>4200525</v>
      </c>
      <c r="Q23" s="192">
        <f t="shared" si="3"/>
        <v>6.7984966677197871</v>
      </c>
      <c r="R23" s="257">
        <v>2735118</v>
      </c>
      <c r="S23" s="196">
        <f t="shared" si="5"/>
        <v>6.6056951484143891</v>
      </c>
      <c r="T23" s="200">
        <f t="shared" si="6"/>
        <v>1465407</v>
      </c>
      <c r="U23" s="196">
        <f t="shared" si="7"/>
        <v>7.1901937378448357</v>
      </c>
    </row>
    <row r="24" spans="1:21" ht="20.25" customHeight="1">
      <c r="A24" s="350"/>
      <c r="B24" s="133">
        <v>13</v>
      </c>
      <c r="C24" s="146"/>
      <c r="D24" s="147"/>
      <c r="E24" s="211"/>
      <c r="F24" s="119"/>
      <c r="G24" s="148"/>
      <c r="H24" s="148"/>
      <c r="I24" s="149"/>
      <c r="J24" s="161"/>
      <c r="K24" s="150"/>
      <c r="L24" s="207"/>
      <c r="M24" s="244"/>
      <c r="N24" s="167"/>
      <c r="O24" s="171"/>
      <c r="P24" s="245"/>
      <c r="Q24" s="246"/>
      <c r="R24" s="216"/>
      <c r="S24" s="244"/>
      <c r="T24" s="207"/>
      <c r="U24" s="244"/>
    </row>
    <row r="25" spans="1:21" ht="20.25" customHeight="1">
      <c r="A25" s="350"/>
      <c r="B25" s="133">
        <v>14</v>
      </c>
      <c r="C25" s="146"/>
      <c r="D25" s="147"/>
      <c r="E25" s="211"/>
      <c r="F25" s="119"/>
      <c r="G25" s="148"/>
      <c r="H25" s="148"/>
      <c r="I25" s="149"/>
      <c r="J25" s="161"/>
      <c r="K25" s="150"/>
      <c r="L25" s="207"/>
      <c r="M25" s="244"/>
      <c r="N25" s="167"/>
      <c r="O25" s="171"/>
      <c r="P25" s="245"/>
      <c r="Q25" s="246"/>
      <c r="R25" s="216"/>
      <c r="S25" s="244"/>
      <c r="T25" s="207"/>
      <c r="U25" s="244"/>
    </row>
    <row r="26" spans="1:21" ht="20.25" customHeight="1">
      <c r="A26" s="350"/>
      <c r="B26" s="133">
        <v>15</v>
      </c>
      <c r="C26" s="146"/>
      <c r="D26" s="147"/>
      <c r="E26" s="211"/>
      <c r="F26" s="119"/>
      <c r="G26" s="148"/>
      <c r="H26" s="148"/>
      <c r="I26" s="149"/>
      <c r="J26" s="161"/>
      <c r="K26" s="150"/>
      <c r="L26" s="207"/>
      <c r="M26" s="244"/>
      <c r="N26" s="167"/>
      <c r="O26" s="171"/>
      <c r="P26" s="245"/>
      <c r="Q26" s="246"/>
      <c r="R26" s="216"/>
      <c r="S26" s="244"/>
      <c r="T26" s="207"/>
      <c r="U26" s="244"/>
    </row>
    <row r="27" spans="1:21" ht="20.25" customHeight="1">
      <c r="A27" s="350"/>
      <c r="B27" s="133">
        <v>16</v>
      </c>
      <c r="C27" s="146"/>
      <c r="D27" s="147"/>
      <c r="E27" s="211"/>
      <c r="F27" s="119"/>
      <c r="G27" s="148"/>
      <c r="H27" s="148"/>
      <c r="I27" s="149"/>
      <c r="J27" s="161"/>
      <c r="K27" s="150"/>
      <c r="L27" s="207"/>
      <c r="M27" s="244"/>
      <c r="N27" s="167"/>
      <c r="O27" s="171"/>
      <c r="P27" s="245"/>
      <c r="Q27" s="246"/>
      <c r="R27" s="216"/>
      <c r="S27" s="244"/>
      <c r="T27" s="207"/>
      <c r="U27" s="244"/>
    </row>
    <row r="28" spans="1:21" ht="20.25" customHeight="1">
      <c r="A28" s="350"/>
      <c r="B28" s="133">
        <v>17</v>
      </c>
      <c r="C28" s="146"/>
      <c r="D28" s="147"/>
      <c r="E28" s="211"/>
      <c r="F28" s="119"/>
      <c r="G28" s="148"/>
      <c r="H28" s="148"/>
      <c r="I28" s="149"/>
      <c r="J28" s="161"/>
      <c r="K28" s="150"/>
      <c r="L28" s="207"/>
      <c r="M28" s="244"/>
      <c r="N28" s="167"/>
      <c r="O28" s="171"/>
      <c r="P28" s="245"/>
      <c r="Q28" s="246"/>
      <c r="R28" s="216"/>
      <c r="S28" s="244"/>
      <c r="T28" s="207"/>
      <c r="U28" s="244"/>
    </row>
    <row r="29" spans="1:21" ht="17.25" thickBot="1">
      <c r="A29" s="351"/>
      <c r="B29" s="151">
        <v>18</v>
      </c>
      <c r="C29" s="152"/>
      <c r="D29" s="153"/>
      <c r="E29" s="154"/>
      <c r="F29" s="154"/>
      <c r="G29" s="155"/>
      <c r="H29" s="155"/>
      <c r="I29" s="156"/>
      <c r="J29" s="157"/>
      <c r="K29" s="158"/>
      <c r="L29" s="201"/>
      <c r="M29" s="202"/>
      <c r="N29" s="159"/>
      <c r="O29" s="172"/>
      <c r="P29" s="266"/>
      <c r="Q29" s="267"/>
      <c r="R29" s="268"/>
      <c r="S29" s="269"/>
      <c r="T29" s="207"/>
      <c r="U29" s="270"/>
    </row>
    <row r="30" spans="1:21" ht="14.1" customHeight="1">
      <c r="A30" s="334" t="s">
        <v>510</v>
      </c>
      <c r="B30" s="335"/>
      <c r="C30" s="335"/>
      <c r="D30" s="335"/>
      <c r="E30" s="336"/>
      <c r="F30" s="354">
        <f>O30+T32</f>
        <v>171792474.03200001</v>
      </c>
      <c r="G30" s="355">
        <f t="shared" ref="G30:H31" si="8">B20+G22</f>
        <v>9</v>
      </c>
      <c r="H30" s="356">
        <f t="shared" si="8"/>
        <v>167887</v>
      </c>
      <c r="I30" s="219"/>
      <c r="J30" s="366" t="s">
        <v>508</v>
      </c>
      <c r="K30" s="139"/>
      <c r="L30" s="405">
        <f>SUM(L12:L29)</f>
        <v>96989979.96800001</v>
      </c>
      <c r="M30" s="271"/>
      <c r="N30" s="410" t="s">
        <v>517</v>
      </c>
      <c r="O30" s="398">
        <f>SUM(O12:O29)</f>
        <v>151411841</v>
      </c>
      <c r="P30" s="407">
        <f>O30-L30</f>
        <v>54421861.03199999</v>
      </c>
      <c r="Q30" s="408">
        <f>SUM(Q12:Q29)</f>
        <v>88.081094833898462</v>
      </c>
      <c r="R30" s="374">
        <f>SUM(R12:R29)</f>
        <v>41405453</v>
      </c>
      <c r="S30" s="403">
        <f>SUM(S12:S23)</f>
        <v>100</v>
      </c>
      <c r="T30" s="381">
        <f>SUM(T12:T29)</f>
        <v>13016408.032000002</v>
      </c>
      <c r="U30" s="379">
        <f>SUM(U12:U29)</f>
        <v>63.866554152477512</v>
      </c>
    </row>
    <row r="31" spans="1:21" ht="14.1" customHeight="1" thickBot="1">
      <c r="A31" s="337"/>
      <c r="B31" s="338"/>
      <c r="C31" s="338"/>
      <c r="D31" s="338"/>
      <c r="E31" s="339"/>
      <c r="F31" s="357" t="e">
        <f>#REF!+F23</f>
        <v>#REF!</v>
      </c>
      <c r="G31" s="358">
        <f t="shared" si="8"/>
        <v>10</v>
      </c>
      <c r="H31" s="359">
        <f t="shared" si="8"/>
        <v>180410</v>
      </c>
      <c r="I31" s="219"/>
      <c r="J31" s="367"/>
      <c r="K31" s="139"/>
      <c r="L31" s="406"/>
      <c r="M31" s="272"/>
      <c r="N31" s="411"/>
      <c r="O31" s="399"/>
      <c r="P31" s="385"/>
      <c r="Q31" s="409"/>
      <c r="R31" s="375"/>
      <c r="S31" s="404"/>
      <c r="T31" s="382"/>
      <c r="U31" s="380"/>
    </row>
    <row r="32" spans="1:21" ht="13.7" customHeight="1">
      <c r="A32" s="340" t="s">
        <v>511</v>
      </c>
      <c r="B32" s="341"/>
      <c r="C32" s="341"/>
      <c r="D32" s="341"/>
      <c r="E32" s="342"/>
      <c r="F32" s="360">
        <f>T35/L30</f>
        <v>1.7712394011080284</v>
      </c>
      <c r="G32" s="361"/>
      <c r="H32" s="362"/>
      <c r="I32" s="220"/>
      <c r="J32" s="352" t="s">
        <v>509</v>
      </c>
      <c r="K32" s="7"/>
      <c r="L32" s="247"/>
      <c r="M32" s="273"/>
      <c r="N32" s="412" t="s">
        <v>518</v>
      </c>
      <c r="O32" s="284"/>
      <c r="P32" s="384">
        <f>P30+P11</f>
        <v>61786086.03199999</v>
      </c>
      <c r="Q32" s="386">
        <f>Q30+Q11</f>
        <v>100.00000000000001</v>
      </c>
      <c r="R32" s="370">
        <f>R30</f>
        <v>41405453</v>
      </c>
      <c r="S32" s="280" t="s">
        <v>491</v>
      </c>
      <c r="T32" s="372">
        <f>T30+T11</f>
        <v>20380633.032000002</v>
      </c>
      <c r="U32" s="281" t="s">
        <v>492</v>
      </c>
    </row>
    <row r="33" spans="1:21" ht="15.75" customHeight="1" thickBot="1">
      <c r="A33" s="343"/>
      <c r="B33" s="344"/>
      <c r="C33" s="344"/>
      <c r="D33" s="344"/>
      <c r="E33" s="345"/>
      <c r="F33" s="363"/>
      <c r="G33" s="364"/>
      <c r="H33" s="365"/>
      <c r="I33" s="220"/>
      <c r="J33" s="353"/>
      <c r="K33" s="7"/>
      <c r="L33" s="248"/>
      <c r="M33" s="274"/>
      <c r="N33" s="413"/>
      <c r="O33" s="285"/>
      <c r="P33" s="385"/>
      <c r="Q33" s="387"/>
      <c r="R33" s="371"/>
      <c r="S33" s="282">
        <f>R32/P32*100</f>
        <v>67.014202807012992</v>
      </c>
      <c r="T33" s="373"/>
      <c r="U33" s="283">
        <f>T32/P32*100</f>
        <v>32.985797192987029</v>
      </c>
    </row>
    <row r="34" spans="1:21" hidden="1">
      <c r="B34" s="7"/>
      <c r="C34" s="7"/>
      <c r="D34" s="140"/>
      <c r="E34" s="7"/>
      <c r="F34" s="7"/>
      <c r="G34" s="7"/>
      <c r="H34" s="7"/>
      <c r="I34" s="7"/>
      <c r="J34" s="7"/>
      <c r="K34" s="7"/>
      <c r="L34" s="141"/>
      <c r="M34" s="141"/>
      <c r="N34" s="275"/>
      <c r="O34" s="276"/>
      <c r="P34" s="277"/>
      <c r="Q34" s="274"/>
      <c r="R34" s="186"/>
      <c r="S34" s="187"/>
      <c r="T34" s="278"/>
      <c r="U34" s="279"/>
    </row>
    <row r="35" spans="1:21" hidden="1">
      <c r="B35" s="7"/>
      <c r="C35" s="7"/>
      <c r="D35" s="140"/>
      <c r="E35" s="7"/>
      <c r="F35" s="7"/>
      <c r="G35" s="7"/>
      <c r="H35" s="7"/>
      <c r="I35" s="7"/>
      <c r="J35" s="7"/>
      <c r="K35" s="7"/>
      <c r="L35" s="141"/>
      <c r="M35" s="141"/>
      <c r="N35" s="142"/>
      <c r="O35" s="173"/>
      <c r="P35" s="400" t="s">
        <v>489</v>
      </c>
      <c r="Q35" s="401"/>
      <c r="R35" s="401"/>
      <c r="S35" s="402"/>
      <c r="T35" s="221">
        <f>O30+T32</f>
        <v>171792474.03200001</v>
      </c>
      <c r="U35" s="141"/>
    </row>
    <row r="36" spans="1:21" hidden="1">
      <c r="B36" s="7"/>
      <c r="C36" s="7"/>
      <c r="D36" s="140"/>
      <c r="E36" s="7"/>
      <c r="F36" s="7"/>
      <c r="G36" s="7"/>
      <c r="H36" s="7"/>
      <c r="I36" s="7"/>
      <c r="J36" s="7"/>
      <c r="K36" s="7"/>
      <c r="L36" s="141"/>
      <c r="M36" s="141"/>
      <c r="N36" s="142"/>
      <c r="O36" s="173"/>
      <c r="P36" s="400" t="s">
        <v>490</v>
      </c>
      <c r="Q36" s="401"/>
      <c r="R36" s="401"/>
      <c r="S36" s="402"/>
      <c r="T36" s="222">
        <f>T35/L30</f>
        <v>1.7712394011080284</v>
      </c>
      <c r="U36" s="141"/>
    </row>
    <row r="37" spans="1:21" ht="23.25" customHeight="1">
      <c r="A37" s="143" t="s">
        <v>516</v>
      </c>
      <c r="D37" s="174"/>
      <c r="L37" s="175"/>
      <c r="M37" s="175"/>
      <c r="N37" s="176"/>
      <c r="O37" s="175"/>
      <c r="P37" s="177"/>
      <c r="Q37" s="177"/>
      <c r="R37" s="178"/>
      <c r="S37" s="178"/>
      <c r="T37" s="145" t="s">
        <v>399</v>
      </c>
      <c r="U37" s="175"/>
    </row>
    <row r="38" spans="1:21">
      <c r="C38" s="144"/>
    </row>
    <row r="39" spans="1:21">
      <c r="A39" s="143"/>
      <c r="C39" s="144"/>
      <c r="U39" s="145"/>
    </row>
    <row r="41" spans="1:21">
      <c r="B41" s="143"/>
    </row>
    <row r="42" spans="1:21" hidden="1"/>
    <row r="43" spans="1:21" hidden="1">
      <c r="B43" s="143" t="s">
        <v>487</v>
      </c>
    </row>
    <row r="44" spans="1:21" hidden="1">
      <c r="B44" s="143" t="s">
        <v>488</v>
      </c>
    </row>
  </sheetData>
  <mergeCells count="35">
    <mergeCell ref="P4:U4"/>
    <mergeCell ref="E3:F3"/>
    <mergeCell ref="L3:M3"/>
    <mergeCell ref="P3:Q3"/>
    <mergeCell ref="R3:S3"/>
    <mergeCell ref="T3:U3"/>
    <mergeCell ref="A6:A11"/>
    <mergeCell ref="A30:E31"/>
    <mergeCell ref="F30:H31"/>
    <mergeCell ref="J30:J31"/>
    <mergeCell ref="E4:F4"/>
    <mergeCell ref="H4:O4"/>
    <mergeCell ref="R30:R31"/>
    <mergeCell ref="S30:S31"/>
    <mergeCell ref="N32:N33"/>
    <mergeCell ref="B5:C5"/>
    <mergeCell ref="H5:I5"/>
    <mergeCell ref="J5:K5"/>
    <mergeCell ref="N30:N31"/>
    <mergeCell ref="P35:S35"/>
    <mergeCell ref="P36:S36"/>
    <mergeCell ref="A12:A29"/>
    <mergeCell ref="T30:T31"/>
    <mergeCell ref="U30:U31"/>
    <mergeCell ref="A32:E33"/>
    <mergeCell ref="F32:H33"/>
    <mergeCell ref="J32:J33"/>
    <mergeCell ref="P32:P33"/>
    <mergeCell ref="Q32:Q33"/>
    <mergeCell ref="R32:R33"/>
    <mergeCell ref="T32:T33"/>
    <mergeCell ref="L30:L31"/>
    <mergeCell ref="O30:O31"/>
    <mergeCell ref="P30:P31"/>
    <mergeCell ref="Q30:Q31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3"/>
  <sheetViews>
    <sheetView zoomScale="115" zoomScaleNormal="115" workbookViewId="0">
      <selection activeCell="K8" sqref="K8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38" t="s">
        <v>155</v>
      </c>
      <c r="B1" s="439"/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156</v>
      </c>
      <c r="I1" s="1" t="s">
        <v>157</v>
      </c>
      <c r="J1" s="1" t="s">
        <v>120</v>
      </c>
      <c r="K1" s="1" t="s">
        <v>120</v>
      </c>
      <c r="L1" s="1" t="s">
        <v>120</v>
      </c>
    </row>
    <row r="2" spans="1:12">
      <c r="A2" s="3" t="s">
        <v>0</v>
      </c>
      <c r="B2" s="4" t="s">
        <v>1</v>
      </c>
      <c r="C2" s="1" t="s">
        <v>91</v>
      </c>
      <c r="D2" s="1" t="s">
        <v>91</v>
      </c>
      <c r="E2" s="1" t="s">
        <v>154</v>
      </c>
      <c r="F2" s="1" t="s">
        <v>154</v>
      </c>
      <c r="G2" s="1" t="s">
        <v>154</v>
      </c>
      <c r="H2" s="1" t="s">
        <v>154</v>
      </c>
      <c r="I2" s="1" t="s">
        <v>154</v>
      </c>
      <c r="J2" s="1" t="s">
        <v>182</v>
      </c>
      <c r="K2" s="1" t="s">
        <v>182</v>
      </c>
      <c r="L2" s="1" t="s">
        <v>182</v>
      </c>
    </row>
    <row r="3" spans="1:12">
      <c r="A3" s="6" t="s">
        <v>92</v>
      </c>
      <c r="B3" s="7" t="s">
        <v>4</v>
      </c>
      <c r="C3" s="8" t="s">
        <v>148</v>
      </c>
      <c r="D3" s="8" t="s">
        <v>148</v>
      </c>
      <c r="E3" s="8" t="s">
        <v>147</v>
      </c>
      <c r="F3" s="8" t="s">
        <v>147</v>
      </c>
      <c r="G3" s="8" t="s">
        <v>147</v>
      </c>
      <c r="H3" s="8" t="s">
        <v>158</v>
      </c>
      <c r="I3" s="8" t="s">
        <v>159</v>
      </c>
      <c r="J3" s="8">
        <v>44043</v>
      </c>
      <c r="K3" s="8">
        <v>44043</v>
      </c>
      <c r="L3" s="8">
        <v>44043</v>
      </c>
    </row>
    <row r="4" spans="1:12">
      <c r="A4" s="6" t="s">
        <v>5</v>
      </c>
      <c r="B4" s="7" t="s">
        <v>94</v>
      </c>
      <c r="C4" s="29">
        <v>28.06</v>
      </c>
      <c r="D4" s="29">
        <v>28.06</v>
      </c>
      <c r="E4" s="30">
        <v>28.06</v>
      </c>
      <c r="F4" s="21">
        <v>28.05</v>
      </c>
      <c r="G4" s="30">
        <v>28.04</v>
      </c>
      <c r="H4" s="6">
        <v>27.78</v>
      </c>
      <c r="I4" s="6">
        <v>27.76</v>
      </c>
      <c r="J4" s="6">
        <v>30.05</v>
      </c>
      <c r="K4" s="6">
        <v>30.08</v>
      </c>
      <c r="L4" s="6">
        <v>30.1</v>
      </c>
    </row>
    <row r="5" spans="1:12" ht="17.25" thickBot="1">
      <c r="A5" s="72" t="s">
        <v>7</v>
      </c>
      <c r="B5" s="73" t="s">
        <v>95</v>
      </c>
      <c r="C5" s="74">
        <v>20</v>
      </c>
      <c r="D5" s="74">
        <v>20</v>
      </c>
      <c r="E5" s="90">
        <v>20</v>
      </c>
      <c r="F5" s="91">
        <v>20</v>
      </c>
      <c r="G5" s="91">
        <v>20</v>
      </c>
      <c r="H5" s="72">
        <v>20</v>
      </c>
      <c r="I5" s="72">
        <v>20</v>
      </c>
      <c r="J5" s="72">
        <v>-10</v>
      </c>
      <c r="K5" s="72">
        <v>-10</v>
      </c>
      <c r="L5" s="72">
        <v>-20</v>
      </c>
    </row>
    <row r="6" spans="1:12">
      <c r="A6" s="78" t="s">
        <v>9</v>
      </c>
      <c r="B6" s="79" t="s">
        <v>96</v>
      </c>
      <c r="C6" s="317">
        <f>+C4*C5*1000</f>
        <v>561199.99999999988</v>
      </c>
      <c r="D6" s="317">
        <f t="shared" ref="D6:G6" si="0">+D4*D5*1000</f>
        <v>561199.99999999988</v>
      </c>
      <c r="E6" s="317">
        <f t="shared" si="0"/>
        <v>561199.99999999988</v>
      </c>
      <c r="F6" s="317">
        <f t="shared" si="0"/>
        <v>561000</v>
      </c>
      <c r="G6" s="317">
        <f t="shared" si="0"/>
        <v>560800</v>
      </c>
      <c r="H6" s="317">
        <f t="shared" ref="H6:I6" si="1">+H4*H5*1000</f>
        <v>555600</v>
      </c>
      <c r="I6" s="317">
        <f t="shared" si="1"/>
        <v>555200</v>
      </c>
      <c r="J6" s="317">
        <f t="shared" ref="J6:L6" si="2">+J4*J5*1000</f>
        <v>-300500</v>
      </c>
      <c r="K6" s="317">
        <f t="shared" si="2"/>
        <v>-300799.99999999994</v>
      </c>
      <c r="L6" s="317">
        <f t="shared" si="2"/>
        <v>-602000</v>
      </c>
    </row>
    <row r="7" spans="1:12">
      <c r="A7" s="32" t="s">
        <v>11</v>
      </c>
      <c r="B7" s="61" t="s">
        <v>12</v>
      </c>
      <c r="C7" s="318">
        <f>ROUNDDOWN(+C6*0.001425*0.45,0)</f>
        <v>359</v>
      </c>
      <c r="D7" s="318">
        <f t="shared" ref="D7:I7" si="3">ROUNDDOWN(+D6*0.001425*0.45,0)</f>
        <v>359</v>
      </c>
      <c r="E7" s="318">
        <f t="shared" si="3"/>
        <v>359</v>
      </c>
      <c r="F7" s="318">
        <f t="shared" si="3"/>
        <v>359</v>
      </c>
      <c r="G7" s="318">
        <f t="shared" si="3"/>
        <v>359</v>
      </c>
      <c r="H7" s="318">
        <f t="shared" si="3"/>
        <v>356</v>
      </c>
      <c r="I7" s="318">
        <f t="shared" si="3"/>
        <v>356</v>
      </c>
      <c r="J7" s="318">
        <f>ROUNDDOWN(ABS(J6)*0.001425*0.45,0)</f>
        <v>192</v>
      </c>
      <c r="K7" s="318">
        <f t="shared" ref="K7:L7" si="4">ROUNDDOWN(ABS(K6)*0.001425*0.45,0)</f>
        <v>192</v>
      </c>
      <c r="L7" s="318">
        <f t="shared" si="4"/>
        <v>386</v>
      </c>
    </row>
    <row r="8" spans="1:12">
      <c r="A8" s="32" t="s">
        <v>13</v>
      </c>
      <c r="B8" s="61" t="s">
        <v>14</v>
      </c>
      <c r="C8" s="318"/>
      <c r="D8" s="318"/>
      <c r="E8" s="318"/>
      <c r="F8" s="318"/>
      <c r="G8" s="318"/>
      <c r="H8" s="318"/>
      <c r="I8" s="318"/>
      <c r="J8" s="14">
        <v>300</v>
      </c>
      <c r="K8" s="14">
        <v>300</v>
      </c>
      <c r="L8" s="14">
        <f t="shared" ref="L8" si="5">+-L6*0.001</f>
        <v>602</v>
      </c>
    </row>
    <row r="9" spans="1:12">
      <c r="A9" s="32" t="s">
        <v>97</v>
      </c>
      <c r="B9" s="62" t="s">
        <v>98</v>
      </c>
      <c r="C9" s="318"/>
      <c r="D9" s="318"/>
      <c r="E9" s="318"/>
      <c r="F9" s="318"/>
      <c r="G9" s="318"/>
      <c r="H9" s="318"/>
      <c r="I9" s="318"/>
      <c r="J9" s="14"/>
      <c r="K9" s="14"/>
      <c r="L9" s="14"/>
    </row>
    <row r="10" spans="1:12" ht="17.25" thickBot="1">
      <c r="A10" s="81" t="s">
        <v>17</v>
      </c>
      <c r="B10" s="82" t="s">
        <v>18</v>
      </c>
      <c r="C10" s="319">
        <f>+C6+C7</f>
        <v>561558.99999999988</v>
      </c>
      <c r="D10" s="319">
        <f t="shared" ref="D10:G10" si="6">+D6+D7</f>
        <v>561558.99999999988</v>
      </c>
      <c r="E10" s="319">
        <f t="shared" si="6"/>
        <v>561558.99999999988</v>
      </c>
      <c r="F10" s="319">
        <f t="shared" si="6"/>
        <v>561359</v>
      </c>
      <c r="G10" s="319">
        <f t="shared" si="6"/>
        <v>561159</v>
      </c>
      <c r="H10" s="319">
        <f t="shared" ref="H10:I10" si="7">+H6+H7</f>
        <v>555956</v>
      </c>
      <c r="I10" s="319">
        <f t="shared" si="7"/>
        <v>555556</v>
      </c>
      <c r="J10" s="319">
        <f>SUM(J6:J9)</f>
        <v>-300008</v>
      </c>
      <c r="K10" s="319">
        <f t="shared" ref="K10:L10" si="8">SUM(K6:K9)</f>
        <v>-300307.99999999994</v>
      </c>
      <c r="L10" s="319">
        <f t="shared" si="8"/>
        <v>-601012</v>
      </c>
    </row>
    <row r="11" spans="1:12">
      <c r="A11" s="75" t="s">
        <v>19</v>
      </c>
      <c r="B11" s="76" t="s">
        <v>99</v>
      </c>
      <c r="C11" s="77">
        <f>+C10</f>
        <v>561558.99999999988</v>
      </c>
      <c r="D11" s="77">
        <f>+C11+D10</f>
        <v>1123117.9999999998</v>
      </c>
      <c r="E11" s="77">
        <f t="shared" ref="E11:G11" si="9">+D11+E10</f>
        <v>1684676.9999999995</v>
      </c>
      <c r="F11" s="77">
        <f t="shared" si="9"/>
        <v>2246035.9999999995</v>
      </c>
      <c r="G11" s="77">
        <f t="shared" si="9"/>
        <v>2807194.9999999995</v>
      </c>
      <c r="H11" s="77">
        <f t="shared" ref="H11" si="10">+G11+H10</f>
        <v>3363150.9999999995</v>
      </c>
      <c r="I11" s="77">
        <f t="shared" ref="I11" si="11">+H11+I10</f>
        <v>3918706.9999999995</v>
      </c>
      <c r="J11" s="77">
        <f>+I11+J10</f>
        <v>3618698.9999999995</v>
      </c>
      <c r="K11" s="77">
        <f t="shared" ref="K11:L11" si="12">+J11+K10</f>
        <v>3318390.9999999995</v>
      </c>
      <c r="L11" s="77">
        <f t="shared" si="12"/>
        <v>2717378.9999999995</v>
      </c>
    </row>
    <row r="12" spans="1:12">
      <c r="A12" s="6" t="s">
        <v>21</v>
      </c>
      <c r="B12" s="18" t="s">
        <v>100</v>
      </c>
      <c r="C12" s="19">
        <f>+C5</f>
        <v>20</v>
      </c>
      <c r="D12" s="19">
        <f>+C12+D5</f>
        <v>40</v>
      </c>
      <c r="E12" s="19">
        <f t="shared" ref="E12:G12" si="13">+D12+E5</f>
        <v>60</v>
      </c>
      <c r="F12" s="19">
        <f t="shared" si="13"/>
        <v>80</v>
      </c>
      <c r="G12" s="19">
        <f t="shared" si="13"/>
        <v>100</v>
      </c>
      <c r="H12" s="19">
        <f t="shared" ref="H12" si="14">+G12+H5</f>
        <v>120</v>
      </c>
      <c r="I12" s="19">
        <f t="shared" ref="I12" si="15">+H12+I5</f>
        <v>140</v>
      </c>
      <c r="J12" s="17">
        <f>+I12+J5</f>
        <v>130</v>
      </c>
      <c r="K12" s="17">
        <f t="shared" ref="K12:L12" si="16">+J12+K5</f>
        <v>120</v>
      </c>
      <c r="L12" s="17">
        <f t="shared" si="16"/>
        <v>100</v>
      </c>
    </row>
    <row r="13" spans="1:12" ht="15.6" customHeight="1">
      <c r="A13" s="6" t="s">
        <v>23</v>
      </c>
      <c r="B13" s="7" t="s">
        <v>101</v>
      </c>
      <c r="C13" s="20">
        <f>+C11/C12/1000</f>
        <v>28.077949999999994</v>
      </c>
      <c r="D13" s="20">
        <f t="shared" ref="D13:G13" si="17">+D11/D12/1000</f>
        <v>28.077949999999994</v>
      </c>
      <c r="E13" s="20">
        <f t="shared" si="17"/>
        <v>28.077949999999994</v>
      </c>
      <c r="F13" s="20">
        <f t="shared" si="17"/>
        <v>28.075449999999993</v>
      </c>
      <c r="G13" s="20">
        <f t="shared" si="17"/>
        <v>28.071949999999998</v>
      </c>
      <c r="H13" s="20">
        <f t="shared" ref="H13:J13" si="18">+H11/H12/1000</f>
        <v>28.026258333333327</v>
      </c>
      <c r="I13" s="20">
        <f t="shared" si="18"/>
        <v>27.990764285714281</v>
      </c>
      <c r="J13" s="20">
        <f t="shared" si="18"/>
        <v>27.836146153846151</v>
      </c>
      <c r="K13" s="20">
        <f t="shared" ref="K13:L13" si="19">+K11/K12/1000</f>
        <v>27.653258333333326</v>
      </c>
      <c r="L13" s="35">
        <f t="shared" si="19"/>
        <v>27.173789999999993</v>
      </c>
    </row>
    <row r="14" spans="1:12">
      <c r="A14" s="6" t="s">
        <v>102</v>
      </c>
      <c r="B14" s="7" t="s">
        <v>103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104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105</v>
      </c>
      <c r="B16" s="7" t="s">
        <v>106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155</v>
      </c>
      <c r="B18" s="439"/>
      <c r="C18" s="1" t="s">
        <v>186</v>
      </c>
      <c r="D18" s="2" t="s">
        <v>298</v>
      </c>
      <c r="E18" s="1" t="s">
        <v>298</v>
      </c>
      <c r="F18" s="1" t="s">
        <v>298</v>
      </c>
      <c r="G18" s="1" t="s">
        <v>298</v>
      </c>
      <c r="H18" s="1" t="s">
        <v>494</v>
      </c>
      <c r="I18" s="1" t="s">
        <v>580</v>
      </c>
      <c r="J18" s="1" t="s">
        <v>88</v>
      </c>
      <c r="K18" s="1" t="s">
        <v>88</v>
      </c>
      <c r="L18" s="1"/>
    </row>
    <row r="19" spans="1:12">
      <c r="A19" s="3" t="s">
        <v>107</v>
      </c>
      <c r="B19" s="4" t="s">
        <v>1</v>
      </c>
      <c r="C19" s="5" t="s">
        <v>160</v>
      </c>
      <c r="D19" s="2" t="s">
        <v>299</v>
      </c>
      <c r="E19" s="1" t="s">
        <v>300</v>
      </c>
      <c r="F19" s="1" t="s">
        <v>301</v>
      </c>
      <c r="G19" s="1" t="s">
        <v>301</v>
      </c>
      <c r="H19" s="1" t="s">
        <v>495</v>
      </c>
      <c r="I19" s="1" t="s">
        <v>581</v>
      </c>
      <c r="J19" s="1" t="s">
        <v>524</v>
      </c>
      <c r="K19" s="1" t="s">
        <v>672</v>
      </c>
      <c r="L19" s="1"/>
    </row>
    <row r="20" spans="1:12">
      <c r="A20" s="6" t="s">
        <v>92</v>
      </c>
      <c r="B20" s="7" t="s">
        <v>108</v>
      </c>
      <c r="C20" s="8" t="s">
        <v>319</v>
      </c>
      <c r="D20" s="9">
        <v>45255</v>
      </c>
      <c r="E20" s="8">
        <v>45252</v>
      </c>
      <c r="F20" s="8" t="s">
        <v>320</v>
      </c>
      <c r="G20" s="8" t="s">
        <v>321</v>
      </c>
      <c r="H20" s="8">
        <v>45308</v>
      </c>
      <c r="I20" s="8" t="s">
        <v>584</v>
      </c>
      <c r="J20" s="8" t="s">
        <v>652</v>
      </c>
      <c r="K20" s="8" t="s">
        <v>673</v>
      </c>
      <c r="L20" s="8"/>
    </row>
    <row r="21" spans="1:12">
      <c r="A21" s="6" t="s">
        <v>109</v>
      </c>
      <c r="B21" s="7" t="s">
        <v>94</v>
      </c>
      <c r="C21" s="46">
        <v>-1.6</v>
      </c>
      <c r="D21" s="11">
        <v>-1.8</v>
      </c>
      <c r="E21" s="6">
        <v>-2.1</v>
      </c>
      <c r="F21" s="101">
        <v>-1</v>
      </c>
      <c r="G21" s="6">
        <v>-1.2</v>
      </c>
      <c r="H21" s="6">
        <v>-0.7</v>
      </c>
      <c r="I21" s="6">
        <v>-0.79</v>
      </c>
      <c r="J21" s="6">
        <v>-1.07</v>
      </c>
      <c r="K21" s="6">
        <v>-1.07</v>
      </c>
      <c r="L21" s="6"/>
    </row>
    <row r="22" spans="1:12" ht="17.25" thickBot="1">
      <c r="A22" s="72" t="s">
        <v>7</v>
      </c>
      <c r="B22" s="73" t="s">
        <v>8</v>
      </c>
      <c r="C22" s="92">
        <v>100</v>
      </c>
      <c r="D22" s="85">
        <v>100</v>
      </c>
      <c r="E22" s="72">
        <v>100</v>
      </c>
      <c r="F22" s="72">
        <v>100</v>
      </c>
      <c r="G22" s="72">
        <v>100</v>
      </c>
      <c r="H22" s="72">
        <v>100</v>
      </c>
      <c r="I22" s="72">
        <v>100</v>
      </c>
      <c r="J22" s="72">
        <v>100</v>
      </c>
      <c r="K22" s="72">
        <v>100</v>
      </c>
      <c r="L22" s="72"/>
    </row>
    <row r="23" spans="1:12">
      <c r="A23" s="78" t="s">
        <v>9</v>
      </c>
      <c r="B23" s="79" t="s">
        <v>10</v>
      </c>
      <c r="C23" s="324">
        <f>C21*C22*1000</f>
        <v>-160000</v>
      </c>
      <c r="D23" s="324">
        <f t="shared" ref="D23:G23" si="20">D21*D22*1000</f>
        <v>-180000</v>
      </c>
      <c r="E23" s="324">
        <f t="shared" si="20"/>
        <v>-210000</v>
      </c>
      <c r="F23" s="324">
        <f t="shared" si="20"/>
        <v>-100000</v>
      </c>
      <c r="G23" s="324">
        <f t="shared" si="20"/>
        <v>-120000</v>
      </c>
      <c r="H23" s="324">
        <f t="shared" ref="H23:I23" si="21">H21*H22*1000</f>
        <v>-70000</v>
      </c>
      <c r="I23" s="324">
        <f t="shared" si="21"/>
        <v>-79000</v>
      </c>
      <c r="J23" s="324">
        <f t="shared" ref="J23" si="22">J21*J22*1000</f>
        <v>-107000</v>
      </c>
      <c r="K23" s="324">
        <f t="shared" ref="K23" si="23">K21*K22*1000</f>
        <v>-107000</v>
      </c>
      <c r="L23" s="324"/>
    </row>
    <row r="24" spans="1:12">
      <c r="A24" s="32" t="s">
        <v>11</v>
      </c>
      <c r="B24" s="61" t="s">
        <v>110</v>
      </c>
      <c r="C24" s="325">
        <v>10</v>
      </c>
      <c r="D24" s="326">
        <v>10</v>
      </c>
      <c r="E24" s="326">
        <v>10</v>
      </c>
      <c r="F24" s="326">
        <v>10</v>
      </c>
      <c r="G24" s="326">
        <v>10</v>
      </c>
      <c r="H24" s="326">
        <v>10</v>
      </c>
      <c r="I24" s="326">
        <v>10</v>
      </c>
      <c r="J24" s="326">
        <v>10</v>
      </c>
      <c r="K24" s="326">
        <v>10</v>
      </c>
      <c r="L24" s="326"/>
    </row>
    <row r="25" spans="1:12">
      <c r="A25" s="32" t="s">
        <v>111</v>
      </c>
      <c r="B25" s="61" t="s">
        <v>14</v>
      </c>
      <c r="C25" s="325"/>
      <c r="D25" s="326"/>
      <c r="E25" s="326"/>
      <c r="F25" s="326"/>
      <c r="G25" s="326"/>
      <c r="H25" s="326"/>
      <c r="I25" s="326"/>
      <c r="J25" s="326"/>
      <c r="K25" s="326"/>
      <c r="L25" s="326"/>
    </row>
    <row r="26" spans="1:12">
      <c r="A26" s="32" t="s">
        <v>97</v>
      </c>
      <c r="B26" s="62" t="s">
        <v>16</v>
      </c>
      <c r="C26" s="325"/>
      <c r="D26" s="326"/>
      <c r="E26" s="326"/>
      <c r="F26" s="326"/>
      <c r="G26" s="326"/>
      <c r="H26" s="326"/>
      <c r="I26" s="326"/>
      <c r="J26" s="326"/>
      <c r="K26" s="326"/>
      <c r="L26" s="326"/>
    </row>
    <row r="27" spans="1:12" ht="17.25" thickBot="1">
      <c r="A27" s="81" t="s">
        <v>17</v>
      </c>
      <c r="B27" s="82" t="s">
        <v>112</v>
      </c>
      <c r="C27" s="327">
        <f>SUM(C23:C26)</f>
        <v>-159990</v>
      </c>
      <c r="D27" s="327">
        <f t="shared" ref="D27:G27" si="24">SUM(D23:D26)</f>
        <v>-179990</v>
      </c>
      <c r="E27" s="327">
        <f t="shared" si="24"/>
        <v>-209990</v>
      </c>
      <c r="F27" s="327">
        <f t="shared" si="24"/>
        <v>-99990</v>
      </c>
      <c r="G27" s="327">
        <f t="shared" si="24"/>
        <v>-119990</v>
      </c>
      <c r="H27" s="327">
        <f t="shared" ref="H27:I27" si="25">SUM(H23:H26)</f>
        <v>-69990</v>
      </c>
      <c r="I27" s="327">
        <f t="shared" si="25"/>
        <v>-78990</v>
      </c>
      <c r="J27" s="327">
        <f t="shared" ref="J27:K27" si="26">SUM(J23:J26)</f>
        <v>-106990</v>
      </c>
      <c r="K27" s="327">
        <f t="shared" si="26"/>
        <v>-106990</v>
      </c>
      <c r="L27" s="327"/>
    </row>
    <row r="28" spans="1:12">
      <c r="A28" s="75" t="s">
        <v>113</v>
      </c>
      <c r="B28" s="76" t="s">
        <v>99</v>
      </c>
      <c r="C28" s="77">
        <f>C27+L11</f>
        <v>2557388.9999999995</v>
      </c>
      <c r="D28" s="94">
        <f>C28+D27</f>
        <v>2377398.9999999995</v>
      </c>
      <c r="E28" s="94">
        <f t="shared" ref="E28:K28" si="27">D28+E27</f>
        <v>2167408.9999999995</v>
      </c>
      <c r="F28" s="94">
        <f t="shared" si="27"/>
        <v>2067418.9999999995</v>
      </c>
      <c r="G28" s="94">
        <f t="shared" si="27"/>
        <v>1947428.9999999995</v>
      </c>
      <c r="H28" s="77">
        <f t="shared" si="27"/>
        <v>1877438.9999999995</v>
      </c>
      <c r="I28" s="77">
        <f t="shared" si="27"/>
        <v>1798448.9999999995</v>
      </c>
      <c r="J28" s="77">
        <f t="shared" si="27"/>
        <v>1691458.9999999995</v>
      </c>
      <c r="K28" s="77">
        <f t="shared" si="27"/>
        <v>1584468.9999999995</v>
      </c>
      <c r="L28" s="77"/>
    </row>
    <row r="29" spans="1:12">
      <c r="A29" s="6" t="s">
        <v>114</v>
      </c>
      <c r="B29" s="18" t="s">
        <v>100</v>
      </c>
      <c r="C29" s="95">
        <v>100</v>
      </c>
      <c r="D29" s="95">
        <v>100</v>
      </c>
      <c r="E29" s="95">
        <v>100</v>
      </c>
      <c r="F29" s="95">
        <v>100</v>
      </c>
      <c r="G29" s="95">
        <v>100</v>
      </c>
      <c r="H29" s="6">
        <v>100</v>
      </c>
      <c r="I29" s="6">
        <v>100</v>
      </c>
      <c r="J29" s="6">
        <v>100</v>
      </c>
      <c r="K29" s="6">
        <v>100</v>
      </c>
      <c r="L29" s="6"/>
    </row>
    <row r="30" spans="1:12">
      <c r="A30" s="6" t="s">
        <v>115</v>
      </c>
      <c r="B30" s="7" t="s">
        <v>101</v>
      </c>
      <c r="C30" s="44">
        <f>C28/C29/1000</f>
        <v>25.573889999999995</v>
      </c>
      <c r="D30" s="44">
        <f t="shared" ref="D30:G30" si="28">D28/D29/1000</f>
        <v>23.773989999999994</v>
      </c>
      <c r="E30" s="44">
        <f t="shared" si="28"/>
        <v>21.674089999999996</v>
      </c>
      <c r="F30" s="44">
        <f t="shared" si="28"/>
        <v>20.674189999999996</v>
      </c>
      <c r="G30" s="44">
        <f t="shared" si="28"/>
        <v>19.474289999999993</v>
      </c>
      <c r="H30" s="10">
        <f t="shared" ref="H30:I30" si="29">H28/H29/1000</f>
        <v>18.774389999999997</v>
      </c>
      <c r="I30" s="20">
        <f t="shared" si="29"/>
        <v>17.984489999999994</v>
      </c>
      <c r="J30" s="20">
        <f t="shared" ref="J30:K30" si="30">J28/J29/1000</f>
        <v>16.914589999999997</v>
      </c>
      <c r="K30" s="20">
        <f t="shared" si="30"/>
        <v>15.844689999999995</v>
      </c>
      <c r="L30" s="10"/>
    </row>
    <row r="31" spans="1:12">
      <c r="A31" s="6" t="s">
        <v>102</v>
      </c>
      <c r="B31" s="7" t="s">
        <v>116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104</v>
      </c>
      <c r="B32" s="7" t="s">
        <v>28</v>
      </c>
      <c r="C32" s="6">
        <v>1.6</v>
      </c>
      <c r="D32" s="6">
        <v>1.8</v>
      </c>
      <c r="E32" s="6">
        <v>2.1</v>
      </c>
      <c r="F32" s="38">
        <v>1</v>
      </c>
      <c r="G32" s="6">
        <v>1.2</v>
      </c>
      <c r="H32" s="6">
        <v>0.7</v>
      </c>
      <c r="I32" s="6">
        <v>0.79</v>
      </c>
      <c r="J32" s="6">
        <v>1.07</v>
      </c>
      <c r="K32" s="6">
        <v>1.07</v>
      </c>
      <c r="L32" s="22"/>
    </row>
    <row r="33" spans="1:12">
      <c r="A33" s="6" t="s">
        <v>105</v>
      </c>
      <c r="B33" s="7" t="s">
        <v>106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0"/>
  <sheetViews>
    <sheetView zoomScale="115" zoomScaleNormal="115" workbookViewId="0">
      <selection activeCell="L25" sqref="L25"/>
    </sheetView>
  </sheetViews>
  <sheetFormatPr defaultRowHeight="16.5"/>
  <cols>
    <col min="1" max="1" width="4.5" style="28" customWidth="1"/>
    <col min="2" max="2" width="8" customWidth="1"/>
    <col min="3" max="9" width="11.625" customWidth="1"/>
    <col min="10" max="10" width="12.125" customWidth="1"/>
    <col min="11" max="12" width="12.25" customWidth="1"/>
  </cols>
  <sheetData>
    <row r="1" spans="1:12">
      <c r="A1" s="440" t="s">
        <v>438</v>
      </c>
      <c r="B1" s="441"/>
      <c r="C1" s="1" t="s">
        <v>41</v>
      </c>
      <c r="D1" s="1" t="s">
        <v>42</v>
      </c>
      <c r="E1" s="1" t="s">
        <v>143</v>
      </c>
      <c r="F1" s="1" t="s">
        <v>144</v>
      </c>
      <c r="G1" s="1" t="s">
        <v>153</v>
      </c>
      <c r="H1" s="1" t="s">
        <v>425</v>
      </c>
      <c r="I1" s="1" t="s">
        <v>35</v>
      </c>
      <c r="J1" s="1" t="s">
        <v>45</v>
      </c>
      <c r="K1" s="1" t="s">
        <v>46</v>
      </c>
      <c r="L1" s="1" t="s">
        <v>429</v>
      </c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196</v>
      </c>
      <c r="F2" s="1" t="s">
        <v>196</v>
      </c>
      <c r="G2" s="1" t="s">
        <v>196</v>
      </c>
      <c r="H2" s="1" t="s">
        <v>196</v>
      </c>
      <c r="I2" s="1" t="s">
        <v>196</v>
      </c>
      <c r="J2" s="1" t="s">
        <v>196</v>
      </c>
      <c r="K2" s="1" t="s">
        <v>196</v>
      </c>
      <c r="L2" s="1" t="s">
        <v>196</v>
      </c>
    </row>
    <row r="3" spans="1:12">
      <c r="A3" s="6" t="s">
        <v>3</v>
      </c>
      <c r="B3" s="7" t="s">
        <v>4</v>
      </c>
      <c r="C3" s="8" t="s">
        <v>424</v>
      </c>
      <c r="D3" s="8" t="s">
        <v>424</v>
      </c>
      <c r="E3" s="8" t="s">
        <v>424</v>
      </c>
      <c r="F3" s="8" t="s">
        <v>424</v>
      </c>
      <c r="G3" s="8" t="s">
        <v>424</v>
      </c>
      <c r="H3" s="8" t="s">
        <v>424</v>
      </c>
      <c r="I3" s="8" t="s">
        <v>426</v>
      </c>
      <c r="J3" s="8" t="s">
        <v>427</v>
      </c>
      <c r="K3" s="8" t="s">
        <v>427</v>
      </c>
      <c r="L3" s="8" t="s">
        <v>428</v>
      </c>
    </row>
    <row r="4" spans="1:12">
      <c r="A4" s="6" t="s">
        <v>5</v>
      </c>
      <c r="B4" s="7" t="s">
        <v>6</v>
      </c>
      <c r="C4" s="29">
        <v>28.57</v>
      </c>
      <c r="D4" s="29">
        <v>28.56</v>
      </c>
      <c r="E4" s="30">
        <v>28.55</v>
      </c>
      <c r="F4" s="21">
        <v>28.5</v>
      </c>
      <c r="G4" s="30">
        <v>28.46</v>
      </c>
      <c r="H4" s="6">
        <v>28.42</v>
      </c>
      <c r="I4" s="6">
        <v>28.64</v>
      </c>
      <c r="J4" s="6">
        <v>29.11</v>
      </c>
      <c r="K4" s="6">
        <v>29.1</v>
      </c>
      <c r="L4" s="6">
        <v>29.24</v>
      </c>
    </row>
    <row r="5" spans="1:12" ht="17.25" thickBot="1">
      <c r="A5" s="72" t="s">
        <v>7</v>
      </c>
      <c r="B5" s="73" t="s">
        <v>8</v>
      </c>
      <c r="C5" s="74">
        <v>20</v>
      </c>
      <c r="D5" s="74">
        <v>10</v>
      </c>
      <c r="E5" s="90">
        <v>20</v>
      </c>
      <c r="F5" s="91">
        <v>10</v>
      </c>
      <c r="G5" s="91">
        <v>10</v>
      </c>
      <c r="H5" s="72">
        <v>20</v>
      </c>
      <c r="I5" s="72">
        <v>20</v>
      </c>
      <c r="J5" s="72">
        <v>20</v>
      </c>
      <c r="K5" s="72">
        <v>20</v>
      </c>
      <c r="L5" s="72">
        <v>30</v>
      </c>
    </row>
    <row r="6" spans="1:12">
      <c r="A6" s="78" t="s">
        <v>9</v>
      </c>
      <c r="B6" s="79" t="s">
        <v>10</v>
      </c>
      <c r="C6" s="317">
        <f>+C4*C5*1000</f>
        <v>571400</v>
      </c>
      <c r="D6" s="317">
        <f t="shared" ref="D6:L6" si="0">+D4*D5*1000</f>
        <v>285599.99999999994</v>
      </c>
      <c r="E6" s="317">
        <f>+E4*E5*1000</f>
        <v>571000</v>
      </c>
      <c r="F6" s="317">
        <f t="shared" si="0"/>
        <v>285000</v>
      </c>
      <c r="G6" s="317">
        <f t="shared" si="0"/>
        <v>284600</v>
      </c>
      <c r="H6" s="317">
        <f t="shared" si="0"/>
        <v>568400.00000000012</v>
      </c>
      <c r="I6" s="317">
        <f t="shared" si="0"/>
        <v>572800</v>
      </c>
      <c r="J6" s="317">
        <f t="shared" si="0"/>
        <v>582200</v>
      </c>
      <c r="K6" s="317">
        <f t="shared" si="0"/>
        <v>582000</v>
      </c>
      <c r="L6" s="317">
        <f t="shared" si="0"/>
        <v>877199.99999999988</v>
      </c>
    </row>
    <row r="7" spans="1:12">
      <c r="A7" s="32" t="s">
        <v>11</v>
      </c>
      <c r="B7" s="61" t="s">
        <v>12</v>
      </c>
      <c r="C7" s="318">
        <f>ROUNDDOWN(+C6*0.001425*0.45,0)</f>
        <v>366</v>
      </c>
      <c r="D7" s="318">
        <f t="shared" ref="D7:L7" si="1">ROUNDDOWN(+D6*0.001425*0.45,0)</f>
        <v>183</v>
      </c>
      <c r="E7" s="318">
        <f t="shared" si="1"/>
        <v>366</v>
      </c>
      <c r="F7" s="318">
        <f t="shared" si="1"/>
        <v>182</v>
      </c>
      <c r="G7" s="318">
        <f t="shared" si="1"/>
        <v>182</v>
      </c>
      <c r="H7" s="318">
        <f t="shared" si="1"/>
        <v>364</v>
      </c>
      <c r="I7" s="318">
        <f t="shared" si="1"/>
        <v>367</v>
      </c>
      <c r="J7" s="318">
        <f t="shared" si="1"/>
        <v>373</v>
      </c>
      <c r="K7" s="318">
        <f t="shared" si="1"/>
        <v>373</v>
      </c>
      <c r="L7" s="318">
        <f t="shared" si="1"/>
        <v>562</v>
      </c>
    </row>
    <row r="8" spans="1:12">
      <c r="A8" s="32" t="s">
        <v>13</v>
      </c>
      <c r="B8" s="61" t="s">
        <v>14</v>
      </c>
      <c r="C8" s="318"/>
      <c r="D8" s="318"/>
      <c r="E8" s="318"/>
      <c r="F8" s="318"/>
      <c r="G8" s="318"/>
      <c r="H8" s="318"/>
      <c r="I8" s="318"/>
      <c r="J8" s="14"/>
      <c r="K8" s="14"/>
      <c r="L8" s="14"/>
    </row>
    <row r="9" spans="1:12">
      <c r="A9" s="32" t="s">
        <v>15</v>
      </c>
      <c r="B9" s="62" t="s">
        <v>16</v>
      </c>
      <c r="C9" s="318"/>
      <c r="D9" s="318"/>
      <c r="E9" s="318"/>
      <c r="F9" s="318"/>
      <c r="G9" s="318"/>
      <c r="H9" s="318"/>
      <c r="I9" s="318"/>
      <c r="J9" s="14"/>
      <c r="K9" s="14"/>
      <c r="L9" s="14"/>
    </row>
    <row r="10" spans="1:12" ht="17.25" thickBot="1">
      <c r="A10" s="81" t="s">
        <v>17</v>
      </c>
      <c r="B10" s="82" t="s">
        <v>18</v>
      </c>
      <c r="C10" s="319">
        <f>+C6+C7</f>
        <v>571766</v>
      </c>
      <c r="D10" s="319">
        <f t="shared" ref="D10:L10" si="2">+D6+D7</f>
        <v>285782.99999999994</v>
      </c>
      <c r="E10" s="319">
        <f t="shared" si="2"/>
        <v>571366</v>
      </c>
      <c r="F10" s="319">
        <f t="shared" si="2"/>
        <v>285182</v>
      </c>
      <c r="G10" s="319">
        <f t="shared" si="2"/>
        <v>284782</v>
      </c>
      <c r="H10" s="319">
        <f t="shared" si="2"/>
        <v>568764.00000000012</v>
      </c>
      <c r="I10" s="319">
        <f t="shared" si="2"/>
        <v>573167</v>
      </c>
      <c r="J10" s="319">
        <f t="shared" si="2"/>
        <v>582573</v>
      </c>
      <c r="K10" s="319">
        <f t="shared" si="2"/>
        <v>582373</v>
      </c>
      <c r="L10" s="319">
        <f t="shared" si="2"/>
        <v>877761.99999999988</v>
      </c>
    </row>
    <row r="11" spans="1:12">
      <c r="A11" s="98" t="s">
        <v>19</v>
      </c>
      <c r="B11" s="99" t="s">
        <v>20</v>
      </c>
      <c r="C11" s="86">
        <f>+C10</f>
        <v>571766</v>
      </c>
      <c r="D11" s="86">
        <f>+C11+D10</f>
        <v>857549</v>
      </c>
      <c r="E11" s="86">
        <f t="shared" ref="E11:F11" si="3">+D11+E10</f>
        <v>1428915</v>
      </c>
      <c r="F11" s="86">
        <f t="shared" si="3"/>
        <v>1714097</v>
      </c>
      <c r="G11" s="86">
        <f t="shared" ref="G11" si="4">+F11+G10</f>
        <v>1998879</v>
      </c>
      <c r="H11" s="86">
        <f t="shared" ref="H11" si="5">+G11+H10</f>
        <v>2567643</v>
      </c>
      <c r="I11" s="86">
        <f t="shared" ref="I11" si="6">+H11+I10</f>
        <v>3140810</v>
      </c>
      <c r="J11" s="86">
        <f t="shared" ref="J11" si="7">+I11+J10</f>
        <v>3723383</v>
      </c>
      <c r="K11" s="86">
        <f t="shared" ref="K11" si="8">+J11+K10</f>
        <v>4305756</v>
      </c>
      <c r="L11" s="86">
        <f t="shared" ref="L11" si="9">+K11+L10</f>
        <v>5183518</v>
      </c>
    </row>
    <row r="12" spans="1:12">
      <c r="A12" s="6" t="s">
        <v>21</v>
      </c>
      <c r="B12" s="18" t="s">
        <v>22</v>
      </c>
      <c r="C12" s="19">
        <f>+C5</f>
        <v>20</v>
      </c>
      <c r="D12" s="19">
        <f>+C12+D5</f>
        <v>30</v>
      </c>
      <c r="E12" s="19">
        <f t="shared" ref="E12:F12" si="10">+D12+E5</f>
        <v>50</v>
      </c>
      <c r="F12" s="19">
        <f t="shared" si="10"/>
        <v>60</v>
      </c>
      <c r="G12" s="19">
        <f t="shared" ref="G12" si="11">+F12+G5</f>
        <v>70</v>
      </c>
      <c r="H12" s="19">
        <f t="shared" ref="H12" si="12">+G12+H5</f>
        <v>90</v>
      </c>
      <c r="I12" s="19">
        <f t="shared" ref="I12" si="13">+H12+I5</f>
        <v>110</v>
      </c>
      <c r="J12" s="19">
        <f t="shared" ref="J12" si="14">+I12+J5</f>
        <v>130</v>
      </c>
      <c r="K12" s="19">
        <f t="shared" ref="K12" si="15">+J12+K5</f>
        <v>150</v>
      </c>
      <c r="L12" s="19">
        <f t="shared" ref="L12" si="16">+K12+L5</f>
        <v>180</v>
      </c>
    </row>
    <row r="13" spans="1:12" ht="15.6" customHeight="1">
      <c r="A13" s="6" t="s">
        <v>23</v>
      </c>
      <c r="B13" s="7" t="s">
        <v>24</v>
      </c>
      <c r="C13" s="20">
        <f>+C11/C12/1000</f>
        <v>28.5883</v>
      </c>
      <c r="D13" s="20">
        <f t="shared" ref="D13:F13" si="17">+D11/D12/1000</f>
        <v>28.584966666666666</v>
      </c>
      <c r="E13" s="20">
        <f t="shared" si="17"/>
        <v>28.578299999999999</v>
      </c>
      <c r="F13" s="20">
        <f t="shared" si="17"/>
        <v>28.568283333333333</v>
      </c>
      <c r="G13" s="20">
        <f t="shared" ref="G13:H13" si="18">+G11/G12/1000</f>
        <v>28.555414285714289</v>
      </c>
      <c r="H13" s="20">
        <f t="shared" si="18"/>
        <v>28.529366666666665</v>
      </c>
      <c r="I13" s="20">
        <f t="shared" ref="I13:L13" si="19">+I11/I12/1000</f>
        <v>28.552818181818179</v>
      </c>
      <c r="J13" s="20">
        <f t="shared" si="19"/>
        <v>28.641407692307695</v>
      </c>
      <c r="K13" s="20">
        <f t="shared" si="19"/>
        <v>28.70504</v>
      </c>
      <c r="L13" s="20">
        <f t="shared" si="19"/>
        <v>28.79732222222222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423</v>
      </c>
      <c r="B18" s="441"/>
      <c r="C18" s="1" t="s">
        <v>430</v>
      </c>
      <c r="D18" s="2" t="s">
        <v>38</v>
      </c>
      <c r="E18" s="1" t="s">
        <v>39</v>
      </c>
      <c r="F18" s="1" t="s">
        <v>66</v>
      </c>
      <c r="G18" s="1" t="s">
        <v>494</v>
      </c>
      <c r="H18" s="1" t="s">
        <v>520</v>
      </c>
      <c r="I18" s="1" t="s">
        <v>526</v>
      </c>
      <c r="J18" s="1" t="s">
        <v>88</v>
      </c>
      <c r="K18" s="1" t="s">
        <v>88</v>
      </c>
      <c r="L18" s="1" t="s">
        <v>88</v>
      </c>
    </row>
    <row r="19" spans="1:12">
      <c r="A19" s="3" t="s">
        <v>0</v>
      </c>
      <c r="B19" s="4" t="s">
        <v>1</v>
      </c>
      <c r="C19" s="5" t="s">
        <v>196</v>
      </c>
      <c r="D19" s="2" t="s">
        <v>196</v>
      </c>
      <c r="E19" s="1" t="s">
        <v>196</v>
      </c>
      <c r="F19" s="1" t="s">
        <v>196</v>
      </c>
      <c r="G19" s="1" t="s">
        <v>495</v>
      </c>
      <c r="H19" s="1" t="s">
        <v>521</v>
      </c>
      <c r="I19" s="1" t="s">
        <v>527</v>
      </c>
      <c r="J19" s="1" t="s">
        <v>449</v>
      </c>
      <c r="K19" s="1" t="s">
        <v>649</v>
      </c>
      <c r="L19" s="1" t="s">
        <v>690</v>
      </c>
    </row>
    <row r="20" spans="1:12">
      <c r="A20" s="6" t="s">
        <v>3</v>
      </c>
      <c r="B20" s="7" t="s">
        <v>4</v>
      </c>
      <c r="C20" s="9" t="s">
        <v>428</v>
      </c>
      <c r="D20" s="9" t="s">
        <v>431</v>
      </c>
      <c r="E20" s="9" t="s">
        <v>431</v>
      </c>
      <c r="F20" s="9" t="s">
        <v>432</v>
      </c>
      <c r="G20" s="8" t="s">
        <v>496</v>
      </c>
      <c r="H20" s="8" t="s">
        <v>522</v>
      </c>
      <c r="I20" s="8" t="s">
        <v>528</v>
      </c>
      <c r="J20" s="8" t="s">
        <v>609</v>
      </c>
      <c r="K20" s="8" t="s">
        <v>650</v>
      </c>
      <c r="L20" s="8" t="s">
        <v>691</v>
      </c>
    </row>
    <row r="21" spans="1:12">
      <c r="A21" s="6" t="s">
        <v>5</v>
      </c>
      <c r="B21" s="7" t="s">
        <v>6</v>
      </c>
      <c r="C21" s="66">
        <v>29.34</v>
      </c>
      <c r="D21" s="30">
        <v>29.77</v>
      </c>
      <c r="E21" s="6">
        <v>29.78</v>
      </c>
      <c r="F21" s="105">
        <v>29.99</v>
      </c>
      <c r="G21" s="6">
        <v>-0.31</v>
      </c>
      <c r="H21" s="6">
        <v>29.42</v>
      </c>
      <c r="I21" s="6">
        <v>29.38</v>
      </c>
      <c r="J21" s="6">
        <v>-0.33500000000000002</v>
      </c>
      <c r="K21" s="6">
        <v>-0.34499999999999997</v>
      </c>
      <c r="L21" s="6">
        <v>-0.34</v>
      </c>
    </row>
    <row r="22" spans="1:12" ht="17.25" thickBot="1">
      <c r="A22" s="72" t="s">
        <v>7</v>
      </c>
      <c r="B22" s="73" t="s">
        <v>8</v>
      </c>
      <c r="C22" s="93">
        <v>120</v>
      </c>
      <c r="D22" s="91">
        <v>30</v>
      </c>
      <c r="E22" s="72">
        <v>50</v>
      </c>
      <c r="F22" s="74">
        <v>20</v>
      </c>
      <c r="G22" s="72">
        <v>400</v>
      </c>
      <c r="H22" s="72">
        <v>50</v>
      </c>
      <c r="I22" s="72">
        <v>50</v>
      </c>
      <c r="J22" s="102">
        <f>I29</f>
        <v>500</v>
      </c>
      <c r="K22" s="72">
        <v>500</v>
      </c>
      <c r="L22" s="72">
        <v>500</v>
      </c>
    </row>
    <row r="23" spans="1:12">
      <c r="A23" s="78" t="s">
        <v>9</v>
      </c>
      <c r="B23" s="79" t="s">
        <v>10</v>
      </c>
      <c r="C23" s="317">
        <f>+C21*C22*1000</f>
        <v>3520800</v>
      </c>
      <c r="D23" s="317">
        <f t="shared" ref="D23:F23" si="20">+D21*D22*1000</f>
        <v>893100</v>
      </c>
      <c r="E23" s="317">
        <f t="shared" si="20"/>
        <v>1489000</v>
      </c>
      <c r="F23" s="317">
        <f t="shared" si="20"/>
        <v>599800</v>
      </c>
      <c r="G23" s="317">
        <f t="shared" ref="G23:H23" si="21">+G21*G22*1000</f>
        <v>-124000</v>
      </c>
      <c r="H23" s="317">
        <f t="shared" si="21"/>
        <v>1471000</v>
      </c>
      <c r="I23" s="317">
        <f t="shared" ref="I23:J23" si="22">+I21*I22*1000</f>
        <v>1469000</v>
      </c>
      <c r="J23" s="317">
        <f t="shared" si="22"/>
        <v>-167500</v>
      </c>
      <c r="K23" s="317">
        <f t="shared" ref="K23:L23" si="23">+K21*K22*1000</f>
        <v>-172500</v>
      </c>
      <c r="L23" s="317">
        <f t="shared" si="23"/>
        <v>-170000</v>
      </c>
    </row>
    <row r="24" spans="1:12">
      <c r="A24" s="32" t="s">
        <v>11</v>
      </c>
      <c r="B24" s="61" t="s">
        <v>12</v>
      </c>
      <c r="C24" s="318">
        <f>ROUNDDOWN(+C23*0.001425*0.45,0)</f>
        <v>2257</v>
      </c>
      <c r="D24" s="318">
        <f t="shared" ref="D24:I24" si="24">ROUNDDOWN(+D23*0.001425*0.45,0)</f>
        <v>572</v>
      </c>
      <c r="E24" s="318">
        <f t="shared" si="24"/>
        <v>954</v>
      </c>
      <c r="F24" s="318">
        <f t="shared" si="24"/>
        <v>384</v>
      </c>
      <c r="G24" s="318">
        <v>10</v>
      </c>
      <c r="H24" s="318">
        <f t="shared" si="24"/>
        <v>943</v>
      </c>
      <c r="I24" s="318">
        <f t="shared" si="24"/>
        <v>941</v>
      </c>
      <c r="J24" s="14">
        <v>10</v>
      </c>
      <c r="K24" s="14">
        <v>10</v>
      </c>
      <c r="L24" s="14">
        <v>10</v>
      </c>
    </row>
    <row r="25" spans="1:12">
      <c r="A25" s="32" t="s">
        <v>13</v>
      </c>
      <c r="B25" s="61" t="s">
        <v>14</v>
      </c>
      <c r="C25" s="318"/>
      <c r="D25" s="14"/>
      <c r="E25" s="14"/>
      <c r="F25" s="14"/>
      <c r="G25" s="14"/>
      <c r="H25" s="14"/>
      <c r="I25" s="14"/>
      <c r="J25" s="14"/>
      <c r="K25" s="14"/>
      <c r="L25" s="14"/>
    </row>
    <row r="26" spans="1:12">
      <c r="A26" s="32" t="s">
        <v>15</v>
      </c>
      <c r="B26" s="62" t="s">
        <v>16</v>
      </c>
      <c r="C26" s="318"/>
      <c r="D26" s="14"/>
      <c r="E26" s="14"/>
      <c r="F26" s="14"/>
      <c r="G26" s="14"/>
      <c r="H26" s="14"/>
      <c r="I26" s="14"/>
      <c r="J26" s="14"/>
      <c r="K26" s="14"/>
      <c r="L26" s="14"/>
    </row>
    <row r="27" spans="1:12" ht="17.25" thickBot="1">
      <c r="A27" s="81" t="s">
        <v>17</v>
      </c>
      <c r="B27" s="82" t="s">
        <v>18</v>
      </c>
      <c r="C27" s="319">
        <f>+C23+C24</f>
        <v>3523057</v>
      </c>
      <c r="D27" s="319">
        <f t="shared" ref="D27:F27" si="25">+D23+D24</f>
        <v>893672</v>
      </c>
      <c r="E27" s="319">
        <f t="shared" si="25"/>
        <v>1489954</v>
      </c>
      <c r="F27" s="319">
        <f t="shared" si="25"/>
        <v>600184</v>
      </c>
      <c r="G27" s="319">
        <f t="shared" ref="G27:H27" si="26">+G23+G24</f>
        <v>-123990</v>
      </c>
      <c r="H27" s="319">
        <f t="shared" si="26"/>
        <v>1471943</v>
      </c>
      <c r="I27" s="319">
        <f t="shared" ref="I27:J27" si="27">+I23+I24</f>
        <v>1469941</v>
      </c>
      <c r="J27" s="319">
        <f t="shared" si="27"/>
        <v>-167490</v>
      </c>
      <c r="K27" s="319">
        <f t="shared" ref="K27:L27" si="28">+K23+K24</f>
        <v>-172490</v>
      </c>
      <c r="L27" s="319">
        <f t="shared" si="28"/>
        <v>-169990</v>
      </c>
    </row>
    <row r="28" spans="1:12">
      <c r="A28" s="75" t="s">
        <v>19</v>
      </c>
      <c r="B28" s="76" t="s">
        <v>20</v>
      </c>
      <c r="C28" s="86">
        <f>+C27+L11</f>
        <v>8706575</v>
      </c>
      <c r="D28" s="86">
        <f>D27+C28</f>
        <v>9600247</v>
      </c>
      <c r="E28" s="86">
        <f t="shared" ref="E28:L28" si="29">E27+D28</f>
        <v>11090201</v>
      </c>
      <c r="F28" s="86">
        <f t="shared" si="29"/>
        <v>11690385</v>
      </c>
      <c r="G28" s="288">
        <f t="shared" si="29"/>
        <v>11566395</v>
      </c>
      <c r="H28" s="289">
        <f t="shared" si="29"/>
        <v>13038338</v>
      </c>
      <c r="I28" s="289">
        <f t="shared" si="29"/>
        <v>14508279</v>
      </c>
      <c r="J28" s="289">
        <f t="shared" si="29"/>
        <v>14340789</v>
      </c>
      <c r="K28" s="289">
        <f t="shared" si="29"/>
        <v>14168299</v>
      </c>
      <c r="L28" s="289">
        <f t="shared" si="29"/>
        <v>13998309</v>
      </c>
    </row>
    <row r="29" spans="1:12">
      <c r="A29" s="6" t="s">
        <v>21</v>
      </c>
      <c r="B29" s="18" t="s">
        <v>22</v>
      </c>
      <c r="C29" s="19">
        <f>C22+L12</f>
        <v>300</v>
      </c>
      <c r="D29" s="19">
        <f>D22+C29</f>
        <v>330</v>
      </c>
      <c r="E29" s="19">
        <f>E22+D29</f>
        <v>380</v>
      </c>
      <c r="F29" s="19">
        <f>F22+E29</f>
        <v>400</v>
      </c>
      <c r="G29" s="95">
        <v>400</v>
      </c>
      <c r="H29" s="17">
        <f>G29+H22</f>
        <v>450</v>
      </c>
      <c r="I29" s="17">
        <f>H29+I22</f>
        <v>500</v>
      </c>
      <c r="J29" s="290">
        <v>500</v>
      </c>
      <c r="K29" s="290">
        <v>500</v>
      </c>
      <c r="L29" s="290">
        <v>500</v>
      </c>
    </row>
    <row r="30" spans="1:12">
      <c r="A30" s="6" t="s">
        <v>23</v>
      </c>
      <c r="B30" s="7" t="s">
        <v>24</v>
      </c>
      <c r="C30" s="20">
        <f t="shared" ref="C30:F30" si="30">+C28/C29/1000</f>
        <v>29.021916666666669</v>
      </c>
      <c r="D30" s="20">
        <f t="shared" si="30"/>
        <v>29.091657575757576</v>
      </c>
      <c r="E30" s="20">
        <f t="shared" si="30"/>
        <v>29.184739473684211</v>
      </c>
      <c r="F30" s="20">
        <f t="shared" si="30"/>
        <v>29.225962500000001</v>
      </c>
      <c r="G30" s="44">
        <f t="shared" ref="G30:H30" si="31">+G28/G29/1000</f>
        <v>28.9159875</v>
      </c>
      <c r="H30" s="10">
        <f t="shared" si="31"/>
        <v>28.974084444444443</v>
      </c>
      <c r="I30" s="20">
        <f t="shared" ref="I30:J30" si="32">+I28/I29/1000</f>
        <v>29.016558</v>
      </c>
      <c r="J30" s="10">
        <f t="shared" si="32"/>
        <v>28.681578000000002</v>
      </c>
      <c r="K30" s="10">
        <f t="shared" ref="K30:L30" si="33">+K28/K29/1000</f>
        <v>28.336598000000002</v>
      </c>
      <c r="L30" s="20">
        <f t="shared" si="33"/>
        <v>27.996617999999998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>
        <v>0.33500000000000002</v>
      </c>
      <c r="K32" s="6">
        <v>0.34499999999999997</v>
      </c>
      <c r="L32" s="6">
        <v>0.34</v>
      </c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 t="s">
        <v>519</v>
      </c>
      <c r="H33" s="6"/>
      <c r="I33" s="6"/>
      <c r="J33" s="6" t="s">
        <v>627</v>
      </c>
      <c r="K33" s="6" t="s">
        <v>651</v>
      </c>
      <c r="L33" s="6" t="s">
        <v>692</v>
      </c>
    </row>
    <row r="34" spans="1:12" ht="11.25" customHeight="1">
      <c r="A34" s="2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</row>
    <row r="35" spans="1:12">
      <c r="A35" s="440" t="s">
        <v>423</v>
      </c>
      <c r="B35" s="441"/>
      <c r="C35" s="1" t="s">
        <v>88</v>
      </c>
      <c r="D35" s="2"/>
      <c r="E35" s="1"/>
      <c r="F35" s="1"/>
      <c r="G35" s="1"/>
      <c r="H35" s="1"/>
      <c r="I35" s="1"/>
      <c r="J35" s="1"/>
      <c r="K35" s="1"/>
      <c r="L35" s="1"/>
    </row>
    <row r="36" spans="1:12">
      <c r="A36" s="3" t="s">
        <v>0</v>
      </c>
      <c r="B36" s="4" t="s">
        <v>1</v>
      </c>
      <c r="C36" s="1" t="s">
        <v>693</v>
      </c>
      <c r="D36" s="2"/>
      <c r="E36" s="1"/>
      <c r="F36" s="1"/>
      <c r="G36" s="1"/>
      <c r="H36" s="1"/>
      <c r="I36" s="1"/>
      <c r="J36" s="1"/>
      <c r="K36" s="1"/>
      <c r="L36" s="1"/>
    </row>
    <row r="37" spans="1:12">
      <c r="A37" s="6" t="s">
        <v>3</v>
      </c>
      <c r="B37" s="7" t="s">
        <v>4</v>
      </c>
      <c r="C37" s="8" t="s">
        <v>691</v>
      </c>
      <c r="D37" s="9"/>
      <c r="E37" s="9"/>
      <c r="F37" s="9"/>
      <c r="G37" s="8"/>
      <c r="H37" s="8"/>
      <c r="I37" s="8"/>
      <c r="J37" s="8"/>
      <c r="K37" s="8"/>
      <c r="L37" s="8"/>
    </row>
    <row r="38" spans="1:12">
      <c r="A38" s="6" t="s">
        <v>5</v>
      </c>
      <c r="B38" s="7" t="s">
        <v>6</v>
      </c>
      <c r="C38" s="6">
        <v>-0.34</v>
      </c>
      <c r="D38" s="30"/>
      <c r="E38" s="6"/>
      <c r="F38" s="105"/>
      <c r="G38" s="6"/>
      <c r="H38" s="6"/>
      <c r="I38" s="6"/>
      <c r="J38" s="6"/>
      <c r="K38" s="6"/>
      <c r="L38" s="6"/>
    </row>
    <row r="39" spans="1:12" ht="17.25" thickBot="1">
      <c r="A39" s="72" t="s">
        <v>7</v>
      </c>
      <c r="B39" s="73" t="s">
        <v>8</v>
      </c>
      <c r="C39" s="72">
        <v>500</v>
      </c>
      <c r="D39" s="91"/>
      <c r="E39" s="72"/>
      <c r="F39" s="74"/>
      <c r="G39" s="72"/>
      <c r="H39" s="72"/>
      <c r="I39" s="72"/>
      <c r="J39" s="102"/>
      <c r="K39" s="72"/>
      <c r="L39" s="72"/>
    </row>
    <row r="40" spans="1:12">
      <c r="A40" s="78" t="s">
        <v>9</v>
      </c>
      <c r="B40" s="79" t="s">
        <v>10</v>
      </c>
      <c r="C40" s="317">
        <f t="shared" ref="C40" si="34">+C38*C39*1000</f>
        <v>-170000</v>
      </c>
      <c r="D40" s="317"/>
      <c r="E40" s="317"/>
      <c r="F40" s="317"/>
      <c r="G40" s="317"/>
      <c r="H40" s="317"/>
      <c r="I40" s="317"/>
      <c r="J40" s="317"/>
      <c r="K40" s="317"/>
      <c r="L40" s="317"/>
    </row>
    <row r="41" spans="1:12">
      <c r="A41" s="32" t="s">
        <v>11</v>
      </c>
      <c r="B41" s="61" t="s">
        <v>12</v>
      </c>
      <c r="C41" s="14">
        <v>0</v>
      </c>
      <c r="D41" s="318"/>
      <c r="E41" s="318"/>
      <c r="F41" s="318"/>
      <c r="G41" s="14"/>
      <c r="H41" s="318"/>
      <c r="I41" s="318"/>
      <c r="J41" s="14"/>
      <c r="K41" s="14"/>
      <c r="L41" s="14"/>
    </row>
    <row r="42" spans="1:12">
      <c r="A42" s="32" t="s">
        <v>13</v>
      </c>
      <c r="B42" s="61" t="s">
        <v>14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spans="1:12">
      <c r="A43" s="32" t="s">
        <v>15</v>
      </c>
      <c r="B43" s="62" t="s">
        <v>16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spans="1:12" ht="17.25" thickBot="1">
      <c r="A44" s="81" t="s">
        <v>17</v>
      </c>
      <c r="B44" s="82" t="s">
        <v>18</v>
      </c>
      <c r="C44" s="319">
        <f t="shared" ref="C44" si="35">+C40+C41</f>
        <v>-170000</v>
      </c>
      <c r="D44" s="319"/>
      <c r="E44" s="319"/>
      <c r="F44" s="319"/>
      <c r="G44" s="319"/>
      <c r="H44" s="319"/>
      <c r="I44" s="319"/>
      <c r="J44" s="319"/>
      <c r="K44" s="319"/>
      <c r="L44" s="319"/>
    </row>
    <row r="45" spans="1:12">
      <c r="A45" s="75" t="s">
        <v>19</v>
      </c>
      <c r="B45" s="76" t="s">
        <v>20</v>
      </c>
      <c r="C45" s="289" t="e">
        <f t="shared" ref="C45" si="36">C44+B45</f>
        <v>#VALUE!</v>
      </c>
      <c r="D45" s="86"/>
      <c r="E45" s="86"/>
      <c r="F45" s="86"/>
      <c r="G45" s="288"/>
      <c r="H45" s="289"/>
      <c r="I45" s="289"/>
      <c r="J45" s="289"/>
      <c r="K45" s="289"/>
      <c r="L45" s="289"/>
    </row>
    <row r="46" spans="1:12">
      <c r="A46" s="6" t="s">
        <v>21</v>
      </c>
      <c r="B46" s="18" t="s">
        <v>22</v>
      </c>
      <c r="C46" s="290">
        <v>500</v>
      </c>
      <c r="D46" s="19"/>
      <c r="E46" s="19"/>
      <c r="F46" s="19"/>
      <c r="G46" s="95"/>
      <c r="H46" s="17"/>
      <c r="I46" s="17"/>
      <c r="J46" s="290"/>
      <c r="K46" s="290"/>
      <c r="L46" s="290"/>
    </row>
    <row r="47" spans="1:12">
      <c r="A47" s="6" t="s">
        <v>23</v>
      </c>
      <c r="B47" s="7" t="s">
        <v>24</v>
      </c>
      <c r="C47" s="20" t="e">
        <f t="shared" ref="C47" si="37">+C45/C46/1000</f>
        <v>#VALUE!</v>
      </c>
      <c r="D47" s="20"/>
      <c r="E47" s="20"/>
      <c r="F47" s="20"/>
      <c r="G47" s="44"/>
      <c r="H47" s="10"/>
      <c r="I47" s="20"/>
      <c r="J47" s="10"/>
      <c r="K47" s="10"/>
      <c r="L47" s="20"/>
    </row>
    <row r="48" spans="1:12">
      <c r="A48" s="6" t="s">
        <v>25</v>
      </c>
      <c r="B48" s="7" t="s">
        <v>26</v>
      </c>
      <c r="C48" s="6"/>
      <c r="D48" s="21"/>
      <c r="E48" s="6"/>
      <c r="F48" s="6"/>
      <c r="G48" s="6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6">
        <v>0.34</v>
      </c>
      <c r="D49" s="11"/>
      <c r="E49" s="6"/>
      <c r="F49" s="65"/>
      <c r="G49" s="6"/>
      <c r="H49" s="6"/>
      <c r="I49" s="6"/>
      <c r="J49" s="6"/>
      <c r="K49" s="6"/>
      <c r="L49" s="6"/>
    </row>
    <row r="50" spans="1:12">
      <c r="A50" s="6" t="s">
        <v>29</v>
      </c>
      <c r="B50" s="7" t="s">
        <v>30</v>
      </c>
      <c r="C50" s="6" t="s">
        <v>694</v>
      </c>
      <c r="D50" s="11"/>
      <c r="E50" s="6"/>
      <c r="F50" s="6"/>
      <c r="G50" s="6"/>
      <c r="H50" s="6"/>
      <c r="I50" s="6"/>
      <c r="J50" s="6"/>
      <c r="K50" s="6"/>
      <c r="L50" s="6"/>
    </row>
  </sheetData>
  <mergeCells count="3">
    <mergeCell ref="A1:B1"/>
    <mergeCell ref="A18:B18"/>
    <mergeCell ref="A35:B35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1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3"/>
  <sheetViews>
    <sheetView zoomScale="115" zoomScaleNormal="115" workbookViewId="0">
      <selection activeCell="E6" sqref="E6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0" t="s">
        <v>444</v>
      </c>
      <c r="B1" s="441"/>
      <c r="C1" s="1" t="s">
        <v>41</v>
      </c>
      <c r="D1" s="1" t="s">
        <v>42</v>
      </c>
      <c r="E1" s="1" t="s">
        <v>580</v>
      </c>
      <c r="F1" s="1"/>
      <c r="G1" s="1"/>
      <c r="H1" s="1"/>
      <c r="I1" s="1"/>
      <c r="J1" s="1"/>
      <c r="K1" s="1"/>
      <c r="L1" s="1"/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581</v>
      </c>
      <c r="F2" s="1"/>
      <c r="G2" s="1"/>
      <c r="H2" s="1"/>
      <c r="I2" s="1"/>
      <c r="J2" s="1"/>
      <c r="K2" s="1"/>
      <c r="L2" s="1"/>
    </row>
    <row r="3" spans="1:12">
      <c r="A3" s="6" t="s">
        <v>3</v>
      </c>
      <c r="B3" s="7" t="s">
        <v>4</v>
      </c>
      <c r="C3" s="8" t="s">
        <v>445</v>
      </c>
      <c r="D3" s="8" t="s">
        <v>445</v>
      </c>
      <c r="E3" s="8">
        <v>45541</v>
      </c>
      <c r="F3" s="8"/>
      <c r="G3" s="8"/>
      <c r="H3" s="8"/>
      <c r="I3" s="8"/>
      <c r="J3" s="8"/>
      <c r="K3" s="8"/>
      <c r="L3" s="8"/>
    </row>
    <row r="4" spans="1:12">
      <c r="A4" s="6" t="s">
        <v>5</v>
      </c>
      <c r="B4" s="7" t="s">
        <v>6</v>
      </c>
      <c r="C4" s="29">
        <v>67.900000000000006</v>
      </c>
      <c r="D4" s="29">
        <v>67.599999999999994</v>
      </c>
      <c r="E4" s="30">
        <v>-3</v>
      </c>
      <c r="F4" s="21"/>
      <c r="G4" s="6"/>
      <c r="H4" s="6"/>
      <c r="I4" s="6"/>
      <c r="J4" s="6"/>
      <c r="K4" s="6"/>
      <c r="L4" s="6"/>
    </row>
    <row r="5" spans="1:12" ht="17.25" thickBot="1">
      <c r="A5" s="72" t="s">
        <v>7</v>
      </c>
      <c r="B5" s="73" t="s">
        <v>8</v>
      </c>
      <c r="C5" s="74">
        <v>10</v>
      </c>
      <c r="D5" s="74">
        <v>20</v>
      </c>
      <c r="E5" s="90">
        <v>30</v>
      </c>
      <c r="F5" s="91"/>
      <c r="G5" s="72"/>
      <c r="H5" s="72"/>
      <c r="I5" s="102"/>
      <c r="J5" s="72"/>
      <c r="K5" s="72"/>
      <c r="L5" s="72"/>
    </row>
    <row r="6" spans="1:12">
      <c r="A6" s="78" t="s">
        <v>9</v>
      </c>
      <c r="B6" s="79" t="s">
        <v>10</v>
      </c>
      <c r="C6" s="80">
        <f>ROUNDDOWN(+C4*C5*1000,0)</f>
        <v>679000</v>
      </c>
      <c r="D6" s="80">
        <f>ROUNDDOWN(+D4*D5*1000,0)</f>
        <v>1352000</v>
      </c>
      <c r="E6" s="80">
        <f t="shared" ref="E6" si="0">+E4*E5*1000</f>
        <v>-90000</v>
      </c>
      <c r="F6" s="80"/>
      <c r="G6" s="80">
        <f t="shared" ref="G6" si="1">+G4*G5*1000</f>
        <v>0</v>
      </c>
      <c r="H6" s="80">
        <f t="shared" ref="H6:L6" si="2">+H4*H5*1000</f>
        <v>0</v>
      </c>
      <c r="I6" s="80">
        <f t="shared" si="2"/>
        <v>0</v>
      </c>
      <c r="J6" s="80">
        <f t="shared" si="2"/>
        <v>0</v>
      </c>
      <c r="K6" s="80">
        <f t="shared" si="2"/>
        <v>0</v>
      </c>
      <c r="L6" s="80">
        <f t="shared" si="2"/>
        <v>0</v>
      </c>
    </row>
    <row r="7" spans="1:12">
      <c r="A7" s="32" t="s">
        <v>11</v>
      </c>
      <c r="B7" s="61" t="s">
        <v>12</v>
      </c>
      <c r="C7" s="33">
        <f>ROUNDDOWN(+C6*0.001425*0.45,0)</f>
        <v>435</v>
      </c>
      <c r="D7" s="33">
        <f>ROUNDDOWN(+D6*0.001425*0.45,0)</f>
        <v>866</v>
      </c>
      <c r="E7" s="33">
        <v>10</v>
      </c>
      <c r="F7" s="33"/>
      <c r="G7" s="33">
        <f t="shared" ref="G7" si="3">+G6*0.001425*0.45</f>
        <v>0</v>
      </c>
      <c r="H7" s="33">
        <f t="shared" ref="H7:J7" si="4">+H6*0.001425*0.45</f>
        <v>0</v>
      </c>
      <c r="I7" s="33">
        <f t="shared" si="4"/>
        <v>0</v>
      </c>
      <c r="J7" s="33">
        <f t="shared" si="4"/>
        <v>0</v>
      </c>
      <c r="K7" s="33">
        <v>0</v>
      </c>
      <c r="L7" s="33">
        <f t="shared" ref="L7" si="5">+L6*0.001425*0.45</f>
        <v>0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679435</v>
      </c>
      <c r="D10" s="83">
        <f t="shared" ref="D10:L10" si="6">+D6+D7</f>
        <v>1352866</v>
      </c>
      <c r="E10" s="83">
        <f t="shared" ref="E10" si="7">+E6+E7</f>
        <v>-89990</v>
      </c>
      <c r="F10" s="83"/>
      <c r="G10" s="83">
        <f t="shared" ref="G10" si="8">+G6+G7</f>
        <v>0</v>
      </c>
      <c r="H10" s="83">
        <f t="shared" si="6"/>
        <v>0</v>
      </c>
      <c r="I10" s="83">
        <f t="shared" si="6"/>
        <v>0</v>
      </c>
      <c r="J10" s="83">
        <f t="shared" si="6"/>
        <v>0</v>
      </c>
      <c r="K10" s="83">
        <f t="shared" si="6"/>
        <v>0</v>
      </c>
      <c r="L10" s="83">
        <f t="shared" si="6"/>
        <v>0</v>
      </c>
    </row>
    <row r="11" spans="1:12">
      <c r="A11" s="98" t="s">
        <v>19</v>
      </c>
      <c r="B11" s="99" t="s">
        <v>20</v>
      </c>
      <c r="C11" s="86">
        <f>+C10</f>
        <v>679435</v>
      </c>
      <c r="D11" s="86">
        <f>+C11+D10</f>
        <v>2032301</v>
      </c>
      <c r="E11" s="86">
        <f>+D11+E10</f>
        <v>1942311</v>
      </c>
      <c r="F11" s="86"/>
      <c r="G11" s="86"/>
      <c r="H11" s="86"/>
      <c r="I11" s="86"/>
      <c r="J11" s="86"/>
      <c r="K11" s="86"/>
      <c r="L11" s="86"/>
    </row>
    <row r="12" spans="1:12">
      <c r="A12" s="6" t="s">
        <v>21</v>
      </c>
      <c r="B12" s="18" t="s">
        <v>22</v>
      </c>
      <c r="C12" s="19">
        <f>+C5</f>
        <v>10</v>
      </c>
      <c r="D12" s="19">
        <f>+C12+D5</f>
        <v>30</v>
      </c>
      <c r="E12" s="19">
        <v>30</v>
      </c>
      <c r="F12" s="19"/>
      <c r="G12" s="19"/>
      <c r="H12" s="19"/>
      <c r="I12" s="19"/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>
        <f>+C11/C12/1000</f>
        <v>67.9435</v>
      </c>
      <c r="D13" s="20">
        <f t="shared" ref="D13:E13" si="9">+D11/D12/1000</f>
        <v>67.743366666666674</v>
      </c>
      <c r="E13" s="20">
        <f t="shared" si="9"/>
        <v>64.743700000000004</v>
      </c>
      <c r="F13" s="20"/>
      <c r="G13" s="20"/>
      <c r="H13" s="20"/>
      <c r="I13" s="20"/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>
        <v>3</v>
      </c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444</v>
      </c>
      <c r="B18" s="441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5"/>
      <c r="G21" s="6"/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/>
      <c r="D22" s="85"/>
      <c r="E22" s="72"/>
      <c r="F22" s="106"/>
      <c r="G22" s="72"/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>
        <f>+C21*C22*1000</f>
        <v>0</v>
      </c>
      <c r="D23" s="80">
        <f t="shared" ref="D23:F23" si="10">+D21*D22*1000</f>
        <v>0</v>
      </c>
      <c r="E23" s="80">
        <f t="shared" si="10"/>
        <v>0</v>
      </c>
      <c r="F23" s="80">
        <f t="shared" si="10"/>
        <v>0</v>
      </c>
      <c r="G23" s="80"/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>
        <f>+C23*0.001425*0.45</f>
        <v>0</v>
      </c>
      <c r="D24" s="33">
        <f t="shared" ref="D24:E24" si="11">+D23*0.001425*0.45</f>
        <v>0</v>
      </c>
      <c r="E24" s="33">
        <f t="shared" si="11"/>
        <v>0</v>
      </c>
      <c r="F24" s="33">
        <v>0</v>
      </c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+C23+C24</f>
        <v>0</v>
      </c>
      <c r="D27" s="83">
        <f t="shared" ref="D27:F27" si="12">+D23+D24</f>
        <v>0</v>
      </c>
      <c r="E27" s="83">
        <f t="shared" si="12"/>
        <v>0</v>
      </c>
      <c r="F27" s="83">
        <f t="shared" si="12"/>
        <v>0</v>
      </c>
      <c r="G27" s="83"/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>
        <f>+C27+L11</f>
        <v>0</v>
      </c>
      <c r="D28" s="86">
        <f>D27+C28</f>
        <v>0</v>
      </c>
      <c r="E28" s="86">
        <f t="shared" ref="E28:F28" si="13">E27+D28</f>
        <v>0</v>
      </c>
      <c r="F28" s="86">
        <f t="shared" si="13"/>
        <v>0</v>
      </c>
      <c r="G28" s="94"/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>
        <f>C22+L12</f>
        <v>0</v>
      </c>
      <c r="D29" s="36">
        <f>D22+C29</f>
        <v>0</v>
      </c>
      <c r="E29" s="36">
        <f>E22+D29</f>
        <v>0</v>
      </c>
      <c r="F29" s="37">
        <f>E29+E29*F33/10</f>
        <v>0</v>
      </c>
      <c r="G29" s="95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3"/>
  <sheetViews>
    <sheetView zoomScale="130" zoomScaleNormal="130" workbookViewId="0">
      <selection activeCell="F12" sqref="F12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0" t="s">
        <v>628</v>
      </c>
      <c r="B1" s="441"/>
      <c r="C1" s="1" t="s">
        <v>629</v>
      </c>
      <c r="D1" s="1" t="s">
        <v>88</v>
      </c>
      <c r="E1" s="1"/>
      <c r="F1" s="1"/>
      <c r="G1" s="1"/>
      <c r="H1" s="1"/>
      <c r="I1" s="1"/>
      <c r="J1" s="1"/>
      <c r="K1" s="1"/>
      <c r="L1" s="1"/>
    </row>
    <row r="2" spans="1:12">
      <c r="A2" s="3" t="s">
        <v>0</v>
      </c>
      <c r="B2" s="4" t="s">
        <v>1</v>
      </c>
      <c r="C2" s="1" t="s">
        <v>449</v>
      </c>
      <c r="D2" s="1" t="s">
        <v>449</v>
      </c>
      <c r="E2" s="1"/>
      <c r="F2" s="1"/>
      <c r="G2" s="1"/>
      <c r="H2" s="1"/>
      <c r="I2" s="1"/>
      <c r="J2" s="1"/>
      <c r="K2" s="1"/>
      <c r="L2" s="1"/>
    </row>
    <row r="3" spans="1:12">
      <c r="A3" s="6" t="s">
        <v>3</v>
      </c>
      <c r="B3" s="7" t="s">
        <v>4</v>
      </c>
      <c r="C3" s="8" t="s">
        <v>630</v>
      </c>
      <c r="D3" s="8" t="s">
        <v>634</v>
      </c>
      <c r="E3" s="8"/>
      <c r="F3" s="8"/>
      <c r="G3" s="8"/>
      <c r="H3" s="8"/>
      <c r="I3" s="8"/>
      <c r="J3" s="8"/>
      <c r="K3" s="8"/>
      <c r="L3" s="8"/>
    </row>
    <row r="4" spans="1:12">
      <c r="A4" s="6" t="s">
        <v>5</v>
      </c>
      <c r="B4" s="7" t="s">
        <v>6</v>
      </c>
      <c r="C4" s="29">
        <v>64.8</v>
      </c>
      <c r="D4" s="30">
        <v>-2</v>
      </c>
      <c r="E4" s="30"/>
      <c r="F4" s="21"/>
      <c r="G4" s="6"/>
      <c r="H4" s="6"/>
      <c r="I4" s="6"/>
      <c r="J4" s="6"/>
      <c r="K4" s="6"/>
      <c r="L4" s="6"/>
    </row>
    <row r="5" spans="1:12" ht="17.25" thickBot="1">
      <c r="A5" s="72" t="s">
        <v>7</v>
      </c>
      <c r="B5" s="73" t="s">
        <v>8</v>
      </c>
      <c r="C5" s="74">
        <v>20</v>
      </c>
      <c r="D5" s="91">
        <v>20</v>
      </c>
      <c r="E5" s="90"/>
      <c r="F5" s="91"/>
      <c r="G5" s="72"/>
      <c r="H5" s="72"/>
      <c r="I5" s="102"/>
      <c r="J5" s="72"/>
      <c r="K5" s="72"/>
      <c r="L5" s="72"/>
    </row>
    <row r="6" spans="1:12">
      <c r="A6" s="78" t="s">
        <v>9</v>
      </c>
      <c r="B6" s="79" t="s">
        <v>10</v>
      </c>
      <c r="C6" s="80">
        <f>+C4*C5*1000</f>
        <v>1296000</v>
      </c>
      <c r="D6" s="80">
        <f t="shared" ref="D6" si="0">+D4*D5*1000</f>
        <v>-40000</v>
      </c>
      <c r="E6" s="80">
        <f t="shared" ref="E6" si="1">+E4*E5*1000</f>
        <v>0</v>
      </c>
      <c r="F6" s="80"/>
      <c r="G6" s="80">
        <f t="shared" ref="G6" si="2">+G4*G5*1000</f>
        <v>0</v>
      </c>
      <c r="H6" s="80">
        <f t="shared" ref="H6:L6" si="3">+H4*H5*1000</f>
        <v>0</v>
      </c>
      <c r="I6" s="80">
        <f t="shared" si="3"/>
        <v>0</v>
      </c>
      <c r="J6" s="80">
        <f t="shared" si="3"/>
        <v>0</v>
      </c>
      <c r="K6" s="80">
        <f t="shared" si="3"/>
        <v>0</v>
      </c>
      <c r="L6" s="80">
        <f t="shared" si="3"/>
        <v>0</v>
      </c>
    </row>
    <row r="7" spans="1:12">
      <c r="A7" s="32" t="s">
        <v>11</v>
      </c>
      <c r="B7" s="61" t="s">
        <v>12</v>
      </c>
      <c r="C7" s="33">
        <f>+C6*0.001425*0.45</f>
        <v>831.06</v>
      </c>
      <c r="D7" s="33">
        <v>10</v>
      </c>
      <c r="E7" s="33">
        <f t="shared" ref="E7" si="4">+E6*0.001425*0.45</f>
        <v>0</v>
      </c>
      <c r="F7" s="33"/>
      <c r="G7" s="33">
        <f t="shared" ref="G7" si="5">+G6*0.001425*0.45</f>
        <v>0</v>
      </c>
      <c r="H7" s="33">
        <f t="shared" ref="H7:J7" si="6">+H6*0.001425*0.45</f>
        <v>0</v>
      </c>
      <c r="I7" s="33">
        <f t="shared" si="6"/>
        <v>0</v>
      </c>
      <c r="J7" s="33">
        <f t="shared" si="6"/>
        <v>0</v>
      </c>
      <c r="K7" s="33">
        <v>0</v>
      </c>
      <c r="L7" s="33">
        <f t="shared" ref="L7" si="7">+L6*0.001425*0.45</f>
        <v>0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1296831.06</v>
      </c>
      <c r="D10" s="83">
        <f t="shared" ref="D10" si="8">SUM(D6:D9)</f>
        <v>-39990</v>
      </c>
      <c r="E10" s="83">
        <f t="shared" ref="E10" si="9">+E6+E7</f>
        <v>0</v>
      </c>
      <c r="F10" s="83"/>
      <c r="G10" s="83">
        <f t="shared" ref="G10" si="10">+G6+G7</f>
        <v>0</v>
      </c>
      <c r="H10" s="83">
        <f t="shared" ref="H10:L10" si="11">+H6+H7</f>
        <v>0</v>
      </c>
      <c r="I10" s="83">
        <f t="shared" si="11"/>
        <v>0</v>
      </c>
      <c r="J10" s="83">
        <f t="shared" si="11"/>
        <v>0</v>
      </c>
      <c r="K10" s="83">
        <f t="shared" si="11"/>
        <v>0</v>
      </c>
      <c r="L10" s="83">
        <f t="shared" si="11"/>
        <v>0</v>
      </c>
    </row>
    <row r="11" spans="1:12">
      <c r="A11" s="98" t="s">
        <v>19</v>
      </c>
      <c r="B11" s="99" t="s">
        <v>20</v>
      </c>
      <c r="C11" s="86">
        <f>+C10</f>
        <v>1296831.06</v>
      </c>
      <c r="D11" s="77">
        <f>C11+D10</f>
        <v>1256841.06</v>
      </c>
      <c r="E11" s="86">
        <f t="shared" ref="E11" si="12">+E10</f>
        <v>0</v>
      </c>
      <c r="F11" s="86"/>
      <c r="G11" s="86"/>
      <c r="H11" s="86"/>
      <c r="I11" s="86"/>
      <c r="J11" s="86"/>
      <c r="K11" s="86"/>
      <c r="L11" s="86"/>
    </row>
    <row r="12" spans="1:12">
      <c r="A12" s="6" t="s">
        <v>21</v>
      </c>
      <c r="B12" s="18" t="s">
        <v>22</v>
      </c>
      <c r="C12" s="19">
        <f>+C5</f>
        <v>20</v>
      </c>
      <c r="D12" s="19">
        <f>D5</f>
        <v>20</v>
      </c>
      <c r="E12" s="19"/>
      <c r="F12" s="19"/>
      <c r="G12" s="19"/>
      <c r="H12" s="19"/>
      <c r="I12" s="19"/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>
        <f>+C11/C12/1000</f>
        <v>64.841553000000005</v>
      </c>
      <c r="D13" s="44">
        <f t="shared" ref="D13" si="13">+D11/D12/1000</f>
        <v>62.842053</v>
      </c>
      <c r="E13" s="20"/>
      <c r="F13" s="20"/>
      <c r="G13" s="20"/>
      <c r="H13" s="20"/>
      <c r="I13" s="20"/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21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14">
        <v>2</v>
      </c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628</v>
      </c>
      <c r="B18" s="441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5"/>
      <c r="G21" s="6"/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/>
      <c r="D22" s="85"/>
      <c r="E22" s="72"/>
      <c r="F22" s="106"/>
      <c r="G22" s="72"/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>
        <f>+C21*C22*1000</f>
        <v>0</v>
      </c>
      <c r="D23" s="80">
        <f t="shared" ref="D23:F23" si="14">+D21*D22*1000</f>
        <v>0</v>
      </c>
      <c r="E23" s="80">
        <f t="shared" si="14"/>
        <v>0</v>
      </c>
      <c r="F23" s="80">
        <f t="shared" si="14"/>
        <v>0</v>
      </c>
      <c r="G23" s="80"/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>
        <f>+C23*0.001425*0.45</f>
        <v>0</v>
      </c>
      <c r="D24" s="33">
        <f t="shared" ref="D24:E24" si="15">+D23*0.001425*0.45</f>
        <v>0</v>
      </c>
      <c r="E24" s="33">
        <f t="shared" si="15"/>
        <v>0</v>
      </c>
      <c r="F24" s="33">
        <v>0</v>
      </c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+C23+C24</f>
        <v>0</v>
      </c>
      <c r="D27" s="83">
        <f t="shared" ref="D27:F27" si="16">+D23+D24</f>
        <v>0</v>
      </c>
      <c r="E27" s="83">
        <f t="shared" si="16"/>
        <v>0</v>
      </c>
      <c r="F27" s="83">
        <f t="shared" si="16"/>
        <v>0</v>
      </c>
      <c r="G27" s="83"/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>
        <f>+C27+L11</f>
        <v>0</v>
      </c>
      <c r="D28" s="86">
        <f>D27+C28</f>
        <v>0</v>
      </c>
      <c r="E28" s="86">
        <f t="shared" ref="E28:F28" si="17">E27+D28</f>
        <v>0</v>
      </c>
      <c r="F28" s="86">
        <f t="shared" si="17"/>
        <v>0</v>
      </c>
      <c r="G28" s="94"/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>
        <f>C22+L12</f>
        <v>0</v>
      </c>
      <c r="D29" s="36">
        <f>D22+C29</f>
        <v>0</v>
      </c>
      <c r="E29" s="36">
        <f>E22+D29</f>
        <v>0</v>
      </c>
      <c r="F29" s="37">
        <f>E29+E29*F33/10</f>
        <v>0</v>
      </c>
      <c r="G29" s="95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23</vt:i4>
      </vt:variant>
      <vt:variant>
        <vt:lpstr>具名範圍</vt:lpstr>
      </vt:variant>
      <vt:variant>
        <vt:i4>1</vt:i4>
      </vt:variant>
    </vt:vector>
  </HeadingPairs>
  <TitlesOfParts>
    <vt:vector size="24" baseType="lpstr">
      <vt:lpstr>總表20240312</vt:lpstr>
      <vt:lpstr>總表20240408</vt:lpstr>
      <vt:lpstr>總表20240517</vt:lpstr>
      <vt:lpstr>總表20240918</vt:lpstr>
      <vt:lpstr>總表 (空白可填)</vt:lpstr>
      <vt:lpstr>元大高股息(OK)</vt:lpstr>
      <vt:lpstr>元大美債20(OK)</vt:lpstr>
      <vt:lpstr>統一(OK)</vt:lpstr>
      <vt:lpstr>台塑化(OK)</vt:lpstr>
      <vt:lpstr>達欣工(OK)</vt:lpstr>
      <vt:lpstr>台企銀</vt:lpstr>
      <vt:lpstr>玉山金(OK)</vt:lpstr>
      <vt:lpstr>台新金(OK)</vt:lpstr>
      <vt:lpstr>國眾(OK)</vt:lpstr>
      <vt:lpstr>致和證(OK)</vt:lpstr>
      <vt:lpstr>5706鳳凰(OK)</vt:lpstr>
      <vt:lpstr>9933中鼎(OK)</vt:lpstr>
      <vt:lpstr>國泰全球品牌(結清)(入檔)</vt:lpstr>
      <vt:lpstr>國泰智能車(結清)(入檔)</vt:lpstr>
      <vt:lpstr>0050元大50(入檔)</vt:lpstr>
      <vt:lpstr>空白</vt:lpstr>
      <vt:lpstr>x空白</vt:lpstr>
      <vt:lpstr>x</vt:lpstr>
      <vt:lpstr>'0050元大50(入檔)'!Print_Area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2024-12-23T06:15:08Z</dcterms:modified>
</cp:coreProperties>
</file>