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275961ED-CDE1-40BC-AD1C-C9B00ED0C25A}" xr6:coauthVersionLast="47" xr6:coauthVersionMax="47" xr10:uidLastSave="{00000000-0000-0000-0000-000000000000}"/>
  <bookViews>
    <workbookView xWindow="-120" yWindow="-120" windowWidth="29040" windowHeight="15720" tabRatio="741" firstSheet="5" activeTab="11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(OK)" sheetId="27" r:id="rId6"/>
    <sheet name="元大美債20(OK)" sheetId="48" r:id="rId7"/>
    <sheet name="統一(OK)" sheetId="49" r:id="rId8"/>
    <sheet name="台塑化(OK)" sheetId="56" r:id="rId9"/>
    <sheet name="達欣工(OK)" sheetId="17" r:id="rId10"/>
    <sheet name="台企銀" sheetId="4" r:id="rId11"/>
    <sheet name="玉山金" sheetId="44" r:id="rId12"/>
    <sheet name="台新金" sheetId="15" r:id="rId13"/>
    <sheet name="國眾" sheetId="41" r:id="rId14"/>
    <sheet name="致和證" sheetId="45" r:id="rId15"/>
    <sheet name="5706鳳凰(結案)" sheetId="35" r:id="rId16"/>
    <sheet name="9933中鼎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D24" i="44" l="1"/>
  <c r="E24" i="44"/>
  <c r="C24" i="44"/>
  <c r="L7" i="44"/>
  <c r="D7" i="44"/>
  <c r="E7" i="44"/>
  <c r="F7" i="44"/>
  <c r="G7" i="44"/>
  <c r="H7" i="44"/>
  <c r="I7" i="44"/>
  <c r="J7" i="44"/>
  <c r="C7" i="44"/>
  <c r="H61" i="17"/>
  <c r="G61" i="17"/>
  <c r="H40" i="17"/>
  <c r="I40" i="17"/>
  <c r="J40" i="17"/>
  <c r="K40" i="17"/>
  <c r="G40" i="17"/>
  <c r="D24" i="48"/>
  <c r="E24" i="48"/>
  <c r="F24" i="48"/>
  <c r="H24" i="48"/>
  <c r="I24" i="48"/>
  <c r="C24" i="48"/>
  <c r="D7" i="48"/>
  <c r="E7" i="48"/>
  <c r="F7" i="48"/>
  <c r="G7" i="48"/>
  <c r="H7" i="48"/>
  <c r="I7" i="48"/>
  <c r="J7" i="48"/>
  <c r="K7" i="48"/>
  <c r="L7" i="48"/>
  <c r="C7" i="48"/>
  <c r="K7" i="27"/>
  <c r="L7" i="27"/>
  <c r="J7" i="27"/>
  <c r="D7" i="27"/>
  <c r="E7" i="27"/>
  <c r="F7" i="27"/>
  <c r="G7" i="27"/>
  <c r="H7" i="27"/>
  <c r="I7" i="27"/>
  <c r="C7" i="27"/>
  <c r="D7" i="39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L58" i="41" s="1"/>
  <c r="C13" i="56" l="1"/>
  <c r="L59" i="41"/>
  <c r="L61" i="41" s="1"/>
  <c r="D74" i="41"/>
  <c r="D75" i="41" s="1"/>
  <c r="C74" i="41"/>
  <c r="C76" i="41" s="1"/>
  <c r="G57" i="41"/>
  <c r="G58" i="41" s="1"/>
  <c r="H57" i="41"/>
  <c r="H58" i="41" s="1"/>
  <c r="I57" i="41"/>
  <c r="I59" i="41" s="1"/>
  <c r="J57" i="41"/>
  <c r="J58" i="41" s="1"/>
  <c r="K57" i="41"/>
  <c r="K58" i="41" s="1"/>
  <c r="J59" i="41"/>
  <c r="K59" i="41"/>
  <c r="H59" i="41" l="1"/>
  <c r="H61" i="41" s="1"/>
  <c r="G59" i="41"/>
  <c r="G61" i="41" s="1"/>
  <c r="I58" i="41"/>
  <c r="I61" i="41" s="1"/>
  <c r="K61" i="41"/>
  <c r="J61" i="41"/>
  <c r="D76" i="41"/>
  <c r="D78" i="41" s="1"/>
  <c r="C75" i="41"/>
  <c r="C78" i="41" s="1"/>
  <c r="F57" i="41"/>
  <c r="F58" i="41" s="1"/>
  <c r="F59" i="41" l="1"/>
  <c r="F61" i="41" s="1"/>
  <c r="D57" i="41" l="1"/>
  <c r="D58" i="41" s="1"/>
  <c r="E57" i="41"/>
  <c r="E58" i="41" s="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J41" i="41" s="1"/>
  <c r="K40" i="41"/>
  <c r="K41" i="41" s="1"/>
  <c r="L40" i="41"/>
  <c r="L41" i="41" s="1"/>
  <c r="J42" i="41" l="1"/>
  <c r="J44" i="41" s="1"/>
  <c r="C58" i="41"/>
  <c r="C61" i="41" s="1"/>
  <c r="L42" i="41"/>
  <c r="L44" i="41" s="1"/>
  <c r="K42" i="41"/>
  <c r="K44" i="41" s="1"/>
  <c r="I40" i="41"/>
  <c r="I41" i="41" s="1"/>
  <c r="J40" i="39"/>
  <c r="H12" i="45"/>
  <c r="I12" i="45" s="1"/>
  <c r="H40" i="41"/>
  <c r="H42" i="41" s="1"/>
  <c r="G22" i="44"/>
  <c r="E6" i="49"/>
  <c r="E10" i="49" s="1"/>
  <c r="O37" i="54"/>
  <c r="L37" i="54"/>
  <c r="C61" i="4" l="1"/>
  <c r="H41" i="4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7" i="48" s="1"/>
  <c r="E29" i="4" l="1"/>
  <c r="H29" i="48" l="1"/>
  <c r="I29" i="48" s="1"/>
  <c r="J22" i="48" s="1"/>
  <c r="J23" i="48" s="1"/>
  <c r="J27" i="48" s="1"/>
  <c r="H23" i="48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E23" i="48"/>
  <c r="D23" i="48"/>
  <c r="C23" i="48"/>
  <c r="C12" i="48"/>
  <c r="D12" i="48" s="1"/>
  <c r="E12" i="48" s="1"/>
  <c r="F12" i="48" s="1"/>
  <c r="G12" i="48" s="1"/>
  <c r="H12" i="48" s="1"/>
  <c r="L6" i="48"/>
  <c r="L10" i="48" s="1"/>
  <c r="K6" i="48"/>
  <c r="J6" i="48"/>
  <c r="I6" i="48"/>
  <c r="H6" i="48"/>
  <c r="G6" i="48"/>
  <c r="F6" i="48"/>
  <c r="F10" i="48" s="1"/>
  <c r="D6" i="48"/>
  <c r="D10" i="48" s="1"/>
  <c r="C6" i="48"/>
  <c r="C10" i="48" s="1"/>
  <c r="C11" i="48" s="1"/>
  <c r="G57" i="17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7" i="48"/>
  <c r="H10" i="48"/>
  <c r="G10" i="48"/>
  <c r="E10" i="48"/>
  <c r="D11" i="48"/>
  <c r="C13" i="48"/>
  <c r="C27" i="48"/>
  <c r="I10" i="48"/>
  <c r="J10" i="48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7" i="44" s="1"/>
  <c r="C23" i="44"/>
  <c r="L6" i="44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10" i="44" s="1"/>
  <c r="G6" i="44"/>
  <c r="F6" i="44"/>
  <c r="E6" i="44"/>
  <c r="D6" i="44"/>
  <c r="C6" i="44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4" i="17"/>
  <c r="J44" i="17"/>
  <c r="K44" i="17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0" i="41"/>
  <c r="G44" i="41" s="1"/>
  <c r="L29" i="41"/>
  <c r="L23" i="41"/>
  <c r="L27" i="41" s="1"/>
  <c r="D23" i="41"/>
  <c r="D24" i="41" s="1"/>
  <c r="E23" i="41"/>
  <c r="E24" i="41" s="1"/>
  <c r="F23" i="41"/>
  <c r="F24" i="41" s="1"/>
  <c r="G23" i="41"/>
  <c r="H23" i="41"/>
  <c r="H24" i="41" s="1"/>
  <c r="I23" i="41"/>
  <c r="J23" i="41"/>
  <c r="K23" i="41"/>
  <c r="K24" i="41" s="1"/>
  <c r="C23" i="41"/>
  <c r="C24" i="41" s="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D7" i="41" s="1"/>
  <c r="E6" i="41"/>
  <c r="E7" i="41" s="1"/>
  <c r="F6" i="41"/>
  <c r="F7" i="41" s="1"/>
  <c r="G6" i="41"/>
  <c r="G7" i="41" s="1"/>
  <c r="H6" i="41"/>
  <c r="H7" i="41" s="1"/>
  <c r="I6" i="41"/>
  <c r="J6" i="41"/>
  <c r="K6" i="41"/>
  <c r="K7" i="41" s="1"/>
  <c r="L6" i="41"/>
  <c r="C6" i="41"/>
  <c r="C7" i="41" s="1"/>
  <c r="D40" i="41"/>
  <c r="D41" i="41" s="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1" i="41"/>
  <c r="E44" i="41" s="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4" i="41"/>
  <c r="I27" i="41" s="1"/>
  <c r="D42" i="41"/>
  <c r="D44" i="41" s="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1" i="41"/>
  <c r="F44" i="41" s="1"/>
  <c r="C27" i="44"/>
  <c r="D27" i="44"/>
  <c r="K27" i="4"/>
  <c r="F27" i="4"/>
  <c r="D10" i="41"/>
  <c r="J10" i="44"/>
  <c r="K10" i="41"/>
  <c r="L7" i="41"/>
  <c r="L10" i="41" s="1"/>
  <c r="J24" i="41"/>
  <c r="J27" i="41" s="1"/>
  <c r="J11" i="17"/>
  <c r="I13" i="17"/>
  <c r="I44" i="4"/>
  <c r="E44" i="4"/>
  <c r="F44" i="4"/>
  <c r="J44" i="4"/>
  <c r="D44" i="4"/>
  <c r="D45" i="4" s="1"/>
  <c r="H44" i="4"/>
  <c r="G44" i="4"/>
  <c r="K44" i="4"/>
  <c r="E7" i="45"/>
  <c r="E10" i="45" s="1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7" i="41"/>
  <c r="J10" i="41" s="1"/>
  <c r="I7" i="41"/>
  <c r="I10" i="41" s="1"/>
  <c r="G24" i="41"/>
  <c r="G27" i="41" s="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10" i="27"/>
  <c r="H47" i="4"/>
  <c r="I45" i="4"/>
  <c r="K30" i="50"/>
  <c r="L28" i="50"/>
  <c r="H11" i="44"/>
  <c r="G13" i="44"/>
  <c r="K10" i="27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I6" i="27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10" i="27" s="1"/>
  <c r="E6" i="27"/>
  <c r="F6" i="27"/>
  <c r="G6" i="27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10" i="27" s="1"/>
  <c r="C11" i="27" s="1"/>
  <c r="D64" i="40" l="1"/>
  <c r="E62" i="40"/>
  <c r="I13" i="35"/>
  <c r="J11" i="35"/>
  <c r="H28" i="39"/>
  <c r="G30" i="39"/>
  <c r="C13" i="27"/>
  <c r="D11" i="27"/>
  <c r="F10" i="27"/>
  <c r="E10" i="27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D7" i="15" s="1"/>
  <c r="E6" i="15"/>
  <c r="F28" i="35" l="1"/>
  <c r="E30" i="35"/>
  <c r="E7" i="15"/>
  <c r="E10" i="15"/>
  <c r="C30" i="27"/>
  <c r="D28" i="27"/>
  <c r="F45" i="17"/>
  <c r="E47" i="17"/>
  <c r="D10" i="15"/>
  <c r="C12" i="15"/>
  <c r="D12" i="15" s="1"/>
  <c r="E12" i="15" s="1"/>
  <c r="F12" i="15" s="1"/>
  <c r="C6" i="15"/>
  <c r="C7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<sst xmlns="http://schemas.openxmlformats.org/spreadsheetml/2006/main" count="3262" uniqueCount="695">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</sst>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515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10">B20+G22</f>
        <v>9</v>
      </c>
      <c r="H30" s="356">
        <f t="shared" si="10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10"/>
        <v>10</v>
      </c>
      <c r="H31" s="359">
        <f t="shared" si="10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  <mergeCell ref="B5:C5"/>
    <mergeCell ref="E3:F3"/>
    <mergeCell ref="E4:F4"/>
    <mergeCell ref="L3:M3"/>
    <mergeCell ref="P3:Q3"/>
    <mergeCell ref="H5:I5"/>
    <mergeCell ref="J5:K5"/>
    <mergeCell ref="H4:O4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A30:E31"/>
    <mergeCell ref="A32:E33"/>
    <mergeCell ref="A6:A11"/>
    <mergeCell ref="A12:A29"/>
    <mergeCell ref="J32:J33"/>
    <mergeCell ref="F30:H31"/>
    <mergeCell ref="F32:H33"/>
    <mergeCell ref="J30:J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B34" zoomScaleNormal="100" workbookViewId="0">
      <selection activeCell="H62" sqref="H62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-1.3922898100000001</v>
      </c>
      <c r="I38" s="6">
        <v>-2.5082690799999998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>ROUNDDOWN(+G38*G39*1000,0)</f>
        <v>-648445</v>
      </c>
      <c r="H40" s="80">
        <f t="shared" ref="H40:K40" si="13">ROUNDDOWN(+H38*H39*1000,0)</f>
        <v>-556915</v>
      </c>
      <c r="I40" s="80">
        <f t="shared" si="13"/>
        <v>-1003307</v>
      </c>
      <c r="J40" s="80">
        <f t="shared" si="13"/>
        <v>-1000000</v>
      </c>
      <c r="K40" s="80">
        <f t="shared" si="13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4">ROUNDDOWN(+E40*0.001425*0.45,0)</f>
        <v>345</v>
      </c>
      <c r="F41" s="33">
        <f t="shared" si="14"/>
        <v>318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5">+E40+E41</f>
        <v>539845</v>
      </c>
      <c r="F44" s="83">
        <f t="shared" si="15"/>
        <v>497118</v>
      </c>
      <c r="G44" s="83">
        <f>SUM(G40:G43)</f>
        <v>-648435</v>
      </c>
      <c r="H44" s="83">
        <f>SUM(H40:H43)</f>
        <v>-556905</v>
      </c>
      <c r="I44" s="83">
        <f>SUM(I40:I43)</f>
        <v>-1003297</v>
      </c>
      <c r="J44" s="83">
        <f t="shared" ref="J44:K44" si="16">SUM(J40:J43)</f>
        <v>-999990</v>
      </c>
      <c r="K44" s="83">
        <f t="shared" si="16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7">+D45+E44</f>
        <v>7739450</v>
      </c>
      <c r="F45" s="86">
        <f t="shared" si="17"/>
        <v>8236568</v>
      </c>
      <c r="G45" s="86">
        <f>+F45+G44</f>
        <v>7588133</v>
      </c>
      <c r="H45" s="86">
        <f>G45+H44</f>
        <v>7031228</v>
      </c>
      <c r="I45" s="86">
        <f>H45+I44</f>
        <v>6027931</v>
      </c>
      <c r="J45" s="86">
        <f t="shared" ref="J45:K45" si="18">I45+J44</f>
        <v>5027941</v>
      </c>
      <c r="K45" s="86">
        <f t="shared" si="18"/>
        <v>4027951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0">+E45/E46/1000</f>
        <v>20.583643617021277</v>
      </c>
      <c r="F47" s="20">
        <f t="shared" si="20"/>
        <v>20.591419999999999</v>
      </c>
      <c r="G47" s="44">
        <f>+G45/G46/1000</f>
        <v>18.970332500000001</v>
      </c>
      <c r="H47" s="44">
        <f>H45/H46/1000</f>
        <v>17.57807</v>
      </c>
      <c r="I47" s="44">
        <f t="shared" ref="I47:K47" si="21">I45/I46/1000</f>
        <v>15.069827499999999</v>
      </c>
      <c r="J47" s="44">
        <f t="shared" si="21"/>
        <v>12.569852500000001</v>
      </c>
      <c r="K47" s="44">
        <f t="shared" si="21"/>
        <v>10.0698775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1.3922898100000001</v>
      </c>
      <c r="I49" s="100">
        <v>2.5082690799999998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2">ROUNDDOWN(+D55*D56*1000,0)</f>
        <v>605000</v>
      </c>
      <c r="E57" s="80">
        <f t="shared" si="22"/>
        <v>602000</v>
      </c>
      <c r="F57" s="80">
        <f t="shared" si="22"/>
        <v>339500</v>
      </c>
      <c r="G57" s="80">
        <f t="shared" ref="G57" si="23">+G55*G56*1000</f>
        <v>-1000000</v>
      </c>
      <c r="H57" s="80">
        <f t="shared" ref="H57" si="24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5">ROUNDDOWN(+D57*0.001425*0.45,0)</f>
        <v>387</v>
      </c>
      <c r="E58" s="33">
        <f t="shared" si="25"/>
        <v>386</v>
      </c>
      <c r="F58" s="33">
        <f t="shared" si="25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6">+C57+C58</f>
        <v>1525977</v>
      </c>
      <c r="D61" s="83">
        <f t="shared" si="26"/>
        <v>605387</v>
      </c>
      <c r="E61" s="83">
        <f t="shared" si="26"/>
        <v>602386</v>
      </c>
      <c r="F61" s="83">
        <f t="shared" si="26"/>
        <v>339717</v>
      </c>
      <c r="G61" s="83">
        <f>+G57+G58</f>
        <v>-1000000</v>
      </c>
      <c r="H61" s="83">
        <f>+H57+H58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5553928</v>
      </c>
      <c r="D62" s="87">
        <f>C62+D61</f>
        <v>6159315</v>
      </c>
      <c r="E62" s="87">
        <f t="shared" ref="E62:H62" si="27">D62+E61</f>
        <v>6761701</v>
      </c>
      <c r="F62" s="87">
        <f t="shared" si="27"/>
        <v>7101418</v>
      </c>
      <c r="G62" s="87">
        <f t="shared" si="27"/>
        <v>6101418</v>
      </c>
      <c r="H62" s="94">
        <f t="shared" si="27"/>
        <v>4901428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8">D63+E56</f>
        <v>490</v>
      </c>
      <c r="F63" s="26">
        <f t="shared" si="28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9">+C62/C63/1000</f>
        <v>12.342062222222223</v>
      </c>
      <c r="D64" s="20">
        <f t="shared" si="29"/>
        <v>13.104925531914894</v>
      </c>
      <c r="E64" s="20">
        <f t="shared" si="29"/>
        <v>13.799389795918367</v>
      </c>
      <c r="F64" s="20">
        <f t="shared" si="29"/>
        <v>14.202836</v>
      </c>
      <c r="G64" s="20">
        <f t="shared" si="29"/>
        <v>15.253545000000001</v>
      </c>
      <c r="H64" s="20">
        <f t="shared" ref="H64" si="30">+H62/H63/1000</f>
        <v>12.25357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9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abSelected="1" topLeftCell="A10" zoomScale="115" zoomScaleNormal="115" workbookViewId="0">
      <selection activeCell="C24" sqref="C24:E24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ROUNDDOWN(+C6*0.001425*0.45,0)</f>
        <v>959</v>
      </c>
      <c r="D7" s="33">
        <f t="shared" ref="D7:J7" si="1">ROUNDDOWN(+D6*0.001425*0.45,0)</f>
        <v>958</v>
      </c>
      <c r="E7" s="33">
        <f t="shared" si="1"/>
        <v>1274</v>
      </c>
      <c r="F7" s="33">
        <f t="shared" si="1"/>
        <v>630</v>
      </c>
      <c r="G7" s="33">
        <f t="shared" si="1"/>
        <v>622</v>
      </c>
      <c r="H7" s="33">
        <f t="shared" si="1"/>
        <v>616</v>
      </c>
      <c r="I7" s="33">
        <f t="shared" si="1"/>
        <v>619</v>
      </c>
      <c r="J7" s="33">
        <f t="shared" si="1"/>
        <v>618</v>
      </c>
      <c r="K7" s="33">
        <v>0</v>
      </c>
      <c r="L7" s="33">
        <f>ROUNDDOWN(+L6*0.001425*0.45,0)</f>
        <v>321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</v>
      </c>
      <c r="D10" s="83">
        <f t="shared" ref="D10:L10" si="2">+D6+D7</f>
        <v>1494958</v>
      </c>
      <c r="E10" s="83">
        <f t="shared" si="2"/>
        <v>1989274</v>
      </c>
      <c r="F10" s="83">
        <f t="shared" si="2"/>
        <v>984630</v>
      </c>
      <c r="G10" s="83">
        <f t="shared" si="2"/>
        <v>970622</v>
      </c>
      <c r="H10" s="83">
        <f t="shared" si="2"/>
        <v>962616</v>
      </c>
      <c r="I10" s="83">
        <f t="shared" si="2"/>
        <v>966619</v>
      </c>
      <c r="J10" s="83">
        <f t="shared" si="2"/>
        <v>964618</v>
      </c>
      <c r="K10" s="83">
        <f t="shared" si="2"/>
        <v>336240</v>
      </c>
      <c r="L10" s="83">
        <f t="shared" si="2"/>
        <v>502321</v>
      </c>
    </row>
    <row r="11" spans="1:12">
      <c r="A11" s="98" t="s">
        <v>19</v>
      </c>
      <c r="B11" s="99" t="s">
        <v>20</v>
      </c>
      <c r="C11" s="86">
        <f>+C10</f>
        <v>1497959</v>
      </c>
      <c r="D11" s="86">
        <f>+C11+D10</f>
        <v>2992917</v>
      </c>
      <c r="E11" s="86">
        <f t="shared" ref="E11:L11" si="3">+D11+E10</f>
        <v>4982191</v>
      </c>
      <c r="F11" s="86">
        <f t="shared" si="3"/>
        <v>5966821</v>
      </c>
      <c r="G11" s="86">
        <f t="shared" si="3"/>
        <v>6937443</v>
      </c>
      <c r="H11" s="86">
        <f t="shared" si="3"/>
        <v>7900059</v>
      </c>
      <c r="I11" s="86">
        <f t="shared" si="3"/>
        <v>8866678</v>
      </c>
      <c r="J11" s="86">
        <f t="shared" si="3"/>
        <v>9831296</v>
      </c>
      <c r="K11" s="86">
        <f t="shared" si="3"/>
        <v>10167536</v>
      </c>
      <c r="L11" s="86">
        <f t="shared" si="3"/>
        <v>10669857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4">+D12+E5</f>
        <v>200</v>
      </c>
      <c r="F12" s="19">
        <f t="shared" si="4"/>
        <v>240</v>
      </c>
      <c r="G12" s="19">
        <f t="shared" si="4"/>
        <v>280</v>
      </c>
      <c r="H12" s="19">
        <f t="shared" si="4"/>
        <v>320</v>
      </c>
      <c r="I12" s="19">
        <f>I5+H12</f>
        <v>360</v>
      </c>
      <c r="J12" s="19">
        <f t="shared" ref="J12:K12" si="5">J5+I12</f>
        <v>400</v>
      </c>
      <c r="K12" s="36">
        <f t="shared" si="5"/>
        <v>416.81200000000001</v>
      </c>
      <c r="L12" s="36">
        <f t="shared" ref="L12" si="6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24.965983333333334</v>
      </c>
      <c r="D13" s="20">
        <f t="shared" ref="D13:L13" si="7">+D11/D12/1000</f>
        <v>24.940974999999998</v>
      </c>
      <c r="E13" s="20">
        <f t="shared" si="7"/>
        <v>24.910955000000001</v>
      </c>
      <c r="F13" s="20">
        <f t="shared" si="7"/>
        <v>24.861754166666664</v>
      </c>
      <c r="G13" s="20">
        <f t="shared" si="7"/>
        <v>24.776582142857144</v>
      </c>
      <c r="H13" s="20">
        <f t="shared" si="7"/>
        <v>24.687684375</v>
      </c>
      <c r="I13" s="20">
        <f t="shared" si="7"/>
        <v>24.629661111111112</v>
      </c>
      <c r="J13" s="20">
        <f t="shared" si="7"/>
        <v>24.578240000000001</v>
      </c>
      <c r="K13" s="34">
        <f t="shared" si="7"/>
        <v>24.393577920021496</v>
      </c>
      <c r="L13" s="34">
        <f t="shared" si="7"/>
        <v>24.426657234691351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8">+D21*D22*1000</f>
        <v>778500</v>
      </c>
      <c r="E23" s="80">
        <f t="shared" si="8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333</v>
      </c>
      <c r="D24" s="33">
        <f t="shared" ref="D24:E24" si="9">ROUNDDOWN(+D23*0.001425*0.45,0)</f>
        <v>499</v>
      </c>
      <c r="E24" s="33">
        <f t="shared" si="9"/>
        <v>165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</v>
      </c>
      <c r="D27" s="83">
        <f t="shared" ref="D27:F27" si="10">+D23+D24</f>
        <v>778999</v>
      </c>
      <c r="E27" s="83">
        <f t="shared" si="10"/>
        <v>257665</v>
      </c>
      <c r="F27" s="83">
        <f t="shared" si="10"/>
        <v>-94080.192800000004</v>
      </c>
      <c r="G27" s="83">
        <f t="shared" ref="G27" si="11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11190190</v>
      </c>
      <c r="D28" s="86">
        <f>D27+C28</f>
        <v>11969189</v>
      </c>
      <c r="E28" s="86">
        <f t="shared" ref="E28:G28" si="12">E27+D28</f>
        <v>12226854</v>
      </c>
      <c r="F28" s="86">
        <f t="shared" si="12"/>
        <v>12132773.8072</v>
      </c>
      <c r="G28" s="87">
        <f t="shared" si="12"/>
        <v>11514029.8072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24.496269800267942</v>
      </c>
      <c r="D30" s="20">
        <f t="shared" ref="D30:G30" si="13">+D28/D29/1000</f>
        <v>24.586881588785815</v>
      </c>
      <c r="E30" s="20">
        <f t="shared" si="13"/>
        <v>24.610625347213833</v>
      </c>
      <c r="F30" s="20">
        <f t="shared" si="13"/>
        <v>23.530045453611027</v>
      </c>
      <c r="G30" s="44">
        <f t="shared" si="13"/>
        <v>21.891538501553356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topLeftCell="A39" zoomScale="115" zoomScaleNormal="115" workbookViewId="0">
      <selection activeCell="H47" sqref="H47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-0.56549000000000005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-230899.74582000001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+C6*0.001425*0.45</f>
        <v>1795.5</v>
      </c>
      <c r="D7" s="33">
        <f t="shared" ref="D7:E7" si="2">+D6*0.001425*0.45</f>
        <v>897.75</v>
      </c>
      <c r="E7" s="33">
        <f t="shared" si="2"/>
        <v>894.54375000000005</v>
      </c>
      <c r="F7" s="31"/>
      <c r="G7" s="31"/>
      <c r="H7" s="31">
        <v>251</v>
      </c>
      <c r="I7" s="31">
        <v>252</v>
      </c>
      <c r="J7" s="31">
        <v>253</v>
      </c>
      <c r="K7" s="31">
        <v>229</v>
      </c>
      <c r="L7" s="31"/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>
        <v>1175</v>
      </c>
      <c r="I8" s="31">
        <v>1179</v>
      </c>
      <c r="J8" s="31">
        <v>1184</v>
      </c>
      <c r="K8" s="31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2801795.5</v>
      </c>
      <c r="D10" s="83">
        <f t="shared" ref="D10" si="3">+D6+D7</f>
        <v>1400897.75</v>
      </c>
      <c r="E10" s="83">
        <f>+E6+E7</f>
        <v>1395894.54375</v>
      </c>
      <c r="F10" s="83">
        <f>SUM(F6:F9)</f>
        <v>-203340</v>
      </c>
      <c r="G10" s="83">
        <f>SUM(G6:G9)</f>
        <v>-230899.74582000001</v>
      </c>
      <c r="H10" s="83">
        <f>+H6+H7+H8</f>
        <v>-390074</v>
      </c>
      <c r="I10" s="83">
        <f>+I6+I7+I8</f>
        <v>-391569</v>
      </c>
      <c r="J10" s="83">
        <f>+J6+J7+J8</f>
        <v>-393063</v>
      </c>
      <c r="K10" s="83">
        <f>+K6+K7+K8</f>
        <v>-355102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2801795.5</v>
      </c>
      <c r="D11" s="77">
        <f>+C11+D10</f>
        <v>4202693.25</v>
      </c>
      <c r="E11" s="77">
        <f>+D11+E10</f>
        <v>5598587.7937500002</v>
      </c>
      <c r="F11" s="77">
        <f>+E11+F10</f>
        <v>5395247.7937500002</v>
      </c>
      <c r="G11" s="77">
        <f>F11+G10</f>
        <v>5164348.0479300003</v>
      </c>
      <c r="H11" s="77">
        <f>+G11+H10</f>
        <v>4774274.0479300003</v>
      </c>
      <c r="I11" s="77">
        <f>+H11+I10</f>
        <v>4382705.0479300003</v>
      </c>
      <c r="J11" s="77">
        <f>+I11+J10-1</f>
        <v>3989641.0479300003</v>
      </c>
      <c r="K11" s="77">
        <f>+J11+K10</f>
        <v>3634539.0479300003</v>
      </c>
      <c r="L11" s="77">
        <f>+K11+L10</f>
        <v>3467551.0479300003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14.0089775</v>
      </c>
      <c r="D13" s="20">
        <f t="shared" ref="D13:H13" si="4">+D11/D12/1000</f>
        <v>14.0089775</v>
      </c>
      <c r="E13" s="20">
        <f t="shared" si="4"/>
        <v>13.996469484375</v>
      </c>
      <c r="F13" s="44">
        <f t="shared" si="4"/>
        <v>13.213334970331976</v>
      </c>
      <c r="G13" s="45">
        <f>G11/G12/1000</f>
        <v>12.361879431903407</v>
      </c>
      <c r="H13" s="20">
        <f t="shared" si="4"/>
        <v>12.312319344715036</v>
      </c>
      <c r="I13" s="20">
        <f t="shared" ref="I13:K13" si="5">+I11/I12/1000</f>
        <v>12.250268885706323</v>
      </c>
      <c r="J13" s="20">
        <f t="shared" si="5"/>
        <v>12.172298350865416</v>
      </c>
      <c r="K13" s="20">
        <f t="shared" si="5"/>
        <v>12.08435582582494</v>
      </c>
      <c r="L13" s="45">
        <f t="shared" ref="L13" si="6">+L11/L12/1000</f>
        <v>11.028194385737823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4413157.0291800005</v>
      </c>
      <c r="D28" s="87">
        <f>D27+C28</f>
        <v>5356261.4073050003</v>
      </c>
      <c r="E28" s="87">
        <f t="shared" ref="E28:K28" si="10">E27+D28</f>
        <v>6487986.6610550005</v>
      </c>
      <c r="F28" s="87">
        <f t="shared" si="10"/>
        <v>7804830.5460550003</v>
      </c>
      <c r="G28" s="87">
        <f t="shared" si="10"/>
        <v>8930551.9523050003</v>
      </c>
      <c r="H28" s="87">
        <f t="shared" si="10"/>
        <v>9488909.7698050011</v>
      </c>
      <c r="I28" s="87">
        <f t="shared" si="10"/>
        <v>10047267.587305002</v>
      </c>
      <c r="J28" s="87">
        <f t="shared" si="10"/>
        <v>10602623.481055003</v>
      </c>
      <c r="K28" s="86">
        <f t="shared" si="10"/>
        <v>10182511.481055003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12.109885214501713</v>
      </c>
      <c r="D30" s="35">
        <f t="shared" ref="D30:K30" si="12">+D28/D29/1000</f>
        <v>12.924530331844528</v>
      </c>
      <c r="E30" s="35">
        <f t="shared" si="12"/>
        <v>13.675444982051996</v>
      </c>
      <c r="F30" s="35">
        <f t="shared" si="12"/>
        <v>14.33588870857564</v>
      </c>
      <c r="G30" s="35">
        <f t="shared" si="12"/>
        <v>14.775261077956609</v>
      </c>
      <c r="H30" s="35">
        <f t="shared" si="12"/>
        <v>14.956684892808621</v>
      </c>
      <c r="I30" s="35">
        <f t="shared" si="12"/>
        <v>15.12172550036423</v>
      </c>
      <c r="J30" s="35">
        <f t="shared" si="12"/>
        <v>15.268183335668601</v>
      </c>
      <c r="K30" s="68">
        <f t="shared" si="12"/>
        <v>13.971611231510463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10345616.004805002</v>
      </c>
      <c r="D45" s="86">
        <f>+C45+D44</f>
        <v>10670824.411055002</v>
      </c>
      <c r="E45" s="86">
        <f>+D45+E44</f>
        <v>11157136.058555003</v>
      </c>
      <c r="F45" s="86">
        <f>+E45+F44</f>
        <v>12126757.429805003</v>
      </c>
      <c r="G45" s="86">
        <f>F45+G44</f>
        <v>11693869.385435004</v>
      </c>
      <c r="H45" s="86">
        <f>G45+H44</f>
        <v>11163209.571042605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14.003268525339253</v>
      </c>
      <c r="D47" s="20">
        <f t="shared" ref="D47:F47" si="17">+D45/D46/1000</f>
        <v>14.062761185549261</v>
      </c>
      <c r="E47" s="20">
        <f t="shared" si="17"/>
        <v>14.144440704853782</v>
      </c>
      <c r="F47" s="44">
        <f t="shared" si="17"/>
        <v>14.286941784685519</v>
      </c>
      <c r="G47" s="45">
        <f>G45/G46/1000</f>
        <v>13.221633190677084</v>
      </c>
      <c r="H47" s="44">
        <f>H45/H46/1000</f>
        <v>12.136218775118994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zoomScale="115" zoomScaleNormal="115" workbookViewId="0">
      <selection activeCell="F59" sqref="F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+C6*0.001425*0.45</f>
        <v>41.456812500000005</v>
      </c>
      <c r="D7" s="33">
        <f t="shared" ref="D7:L7" si="1">+D6*0.001425*0.45</f>
        <v>68.613749999999996</v>
      </c>
      <c r="E7" s="33">
        <f t="shared" si="1"/>
        <v>97.630312500000002</v>
      </c>
      <c r="F7" s="33">
        <f t="shared" si="1"/>
        <v>281.50875000000002</v>
      </c>
      <c r="G7" s="33">
        <f t="shared" si="1"/>
        <v>71.339062499999997</v>
      </c>
      <c r="H7" s="33">
        <f t="shared" si="1"/>
        <v>71.178750000000008</v>
      </c>
      <c r="I7" s="33">
        <f t="shared" si="1"/>
        <v>71.178750000000008</v>
      </c>
      <c r="J7" s="33">
        <f t="shared" si="1"/>
        <v>142.03687500000001</v>
      </c>
      <c r="K7" s="33">
        <f t="shared" si="1"/>
        <v>141.71625</v>
      </c>
      <c r="L7" s="33">
        <f t="shared" si="1"/>
        <v>142.03687500000001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64691.456812500008</v>
      </c>
      <c r="D10" s="83">
        <f t="shared" ref="D10:L10" si="2">SUM(D6:D9)</f>
        <v>107068.61375</v>
      </c>
      <c r="E10" s="83">
        <f t="shared" si="2"/>
        <v>152347.6303125</v>
      </c>
      <c r="F10" s="83">
        <f t="shared" si="2"/>
        <v>439281.50874999998</v>
      </c>
      <c r="G10" s="83">
        <f t="shared" si="2"/>
        <v>111321.3390625</v>
      </c>
      <c r="H10" s="83">
        <f t="shared" si="2"/>
        <v>111071.17875000001</v>
      </c>
      <c r="I10" s="83">
        <f t="shared" si="2"/>
        <v>111071.17875000001</v>
      </c>
      <c r="J10" s="83">
        <f t="shared" si="2"/>
        <v>221642.03687499999</v>
      </c>
      <c r="K10" s="83">
        <f t="shared" si="2"/>
        <v>221141.71625</v>
      </c>
      <c r="L10" s="83">
        <f t="shared" si="2"/>
        <v>221642.03687499999</v>
      </c>
    </row>
    <row r="11" spans="1:12">
      <c r="A11" s="75" t="s">
        <v>19</v>
      </c>
      <c r="B11" s="76" t="s">
        <v>20</v>
      </c>
      <c r="C11" s="77">
        <f>C10</f>
        <v>64691.456812500008</v>
      </c>
      <c r="D11" s="77">
        <f>C11+D10</f>
        <v>171760.07056250001</v>
      </c>
      <c r="E11" s="77">
        <f t="shared" ref="E11:L11" si="3">D11+E10</f>
        <v>324107.70087499998</v>
      </c>
      <c r="F11" s="77">
        <f t="shared" si="3"/>
        <v>763389.2096249999</v>
      </c>
      <c r="G11" s="77">
        <f t="shared" si="3"/>
        <v>874710.54868749995</v>
      </c>
      <c r="H11" s="77">
        <f t="shared" si="3"/>
        <v>985781.72743749991</v>
      </c>
      <c r="I11" s="77">
        <f t="shared" si="3"/>
        <v>1096852.9061874999</v>
      </c>
      <c r="J11" s="77">
        <f t="shared" si="3"/>
        <v>1318494.9430624999</v>
      </c>
      <c r="K11" s="77">
        <f t="shared" si="3"/>
        <v>1539636.6593124999</v>
      </c>
      <c r="L11" s="77">
        <f t="shared" si="3"/>
        <v>1761278.6961874999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21.563818937500002</v>
      </c>
      <c r="D13" s="20">
        <f t="shared" ref="D13:L13" si="5">+D11/D12/1000</f>
        <v>21.470008820312501</v>
      </c>
      <c r="E13" s="20">
        <f t="shared" si="5"/>
        <v>21.607180058333331</v>
      </c>
      <c r="F13" s="20">
        <f t="shared" si="5"/>
        <v>21.811120274999997</v>
      </c>
      <c r="G13" s="20">
        <f t="shared" si="5"/>
        <v>21.867763717187501</v>
      </c>
      <c r="H13" s="20">
        <f t="shared" si="5"/>
        <v>21.906260609722221</v>
      </c>
      <c r="I13" s="20">
        <f t="shared" si="5"/>
        <v>21.937058123749999</v>
      </c>
      <c r="J13" s="20">
        <f t="shared" si="5"/>
        <v>21.974915717708331</v>
      </c>
      <c r="K13" s="20">
        <f t="shared" si="5"/>
        <v>21.994809418749998</v>
      </c>
      <c r="L13" s="20">
        <f t="shared" si="5"/>
        <v>22.01598370234375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+C23*0.001425*0.45</f>
        <v>141.71625</v>
      </c>
      <c r="D24" s="33">
        <f t="shared" ref="D24:K24" si="7">+D23*0.001425*0.45</f>
        <v>141.39562500000002</v>
      </c>
      <c r="E24" s="33">
        <f t="shared" si="7"/>
        <v>141.39562500000002</v>
      </c>
      <c r="F24" s="33">
        <f t="shared" si="7"/>
        <v>141.07500000000002</v>
      </c>
      <c r="G24" s="33">
        <f t="shared" si="7"/>
        <v>140.75437500000001</v>
      </c>
      <c r="H24" s="33">
        <f t="shared" si="7"/>
        <v>140.75437500000001</v>
      </c>
      <c r="I24" s="33">
        <f t="shared" si="7"/>
        <v>140.43375</v>
      </c>
      <c r="J24" s="33">
        <f t="shared" si="7"/>
        <v>140.43375</v>
      </c>
      <c r="K24" s="33">
        <f t="shared" si="7"/>
        <v>28.150875000000003</v>
      </c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221141.71625</v>
      </c>
      <c r="D27" s="83">
        <f t="shared" ref="D27:L27" si="8">SUM(D23:D26)</f>
        <v>220641.395625</v>
      </c>
      <c r="E27" s="83">
        <f t="shared" si="8"/>
        <v>220641.395625</v>
      </c>
      <c r="F27" s="83">
        <f t="shared" si="8"/>
        <v>220141.07500000001</v>
      </c>
      <c r="G27" s="83">
        <f t="shared" si="8"/>
        <v>219640.75437499999</v>
      </c>
      <c r="H27" s="83">
        <f t="shared" si="8"/>
        <v>219640.75437499999</v>
      </c>
      <c r="I27" s="83">
        <f t="shared" si="8"/>
        <v>219140.43375</v>
      </c>
      <c r="J27" s="83">
        <f t="shared" si="8"/>
        <v>219140.43375</v>
      </c>
      <c r="K27" s="83">
        <f t="shared" si="8"/>
        <v>43928.150874999999</v>
      </c>
      <c r="L27" s="83">
        <f t="shared" si="8"/>
        <v>-298967.24159999995</v>
      </c>
    </row>
    <row r="28" spans="1:12">
      <c r="A28" s="75" t="s">
        <v>19</v>
      </c>
      <c r="B28" s="76" t="s">
        <v>20</v>
      </c>
      <c r="C28" s="77">
        <f>C27+L11</f>
        <v>1982420.4124375</v>
      </c>
      <c r="D28" s="77">
        <f>D27+C28</f>
        <v>2203061.8080624999</v>
      </c>
      <c r="E28" s="77">
        <f t="shared" ref="E28:L28" si="9">E27+D28</f>
        <v>2423703.2036874997</v>
      </c>
      <c r="F28" s="77">
        <f t="shared" si="9"/>
        <v>2643844.2786874999</v>
      </c>
      <c r="G28" s="77">
        <f t="shared" si="9"/>
        <v>2863485.0330624999</v>
      </c>
      <c r="H28" s="77">
        <f t="shared" si="9"/>
        <v>3083125.7874375</v>
      </c>
      <c r="I28" s="77">
        <f t="shared" si="9"/>
        <v>3302266.2211874998</v>
      </c>
      <c r="J28" s="77">
        <f t="shared" si="9"/>
        <v>3521406.6549374997</v>
      </c>
      <c r="K28" s="77">
        <f t="shared" si="9"/>
        <v>3565334.8058124995</v>
      </c>
      <c r="L28" s="77">
        <f t="shared" si="9"/>
        <v>3266367.5642124997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22.026893471527778</v>
      </c>
      <c r="D30" s="35">
        <f t="shared" ref="D30:L30" si="11">+D28/D29/1000</f>
        <v>22.030618080624997</v>
      </c>
      <c r="E30" s="35">
        <f t="shared" si="11"/>
        <v>22.033665488068177</v>
      </c>
      <c r="F30" s="35">
        <f t="shared" si="11"/>
        <v>22.032035655729167</v>
      </c>
      <c r="G30" s="35">
        <f t="shared" si="11"/>
        <v>22.026807946634612</v>
      </c>
      <c r="H30" s="35">
        <f t="shared" si="11"/>
        <v>22.022327053124997</v>
      </c>
      <c r="I30" s="35">
        <f t="shared" si="11"/>
        <v>22.01510814125</v>
      </c>
      <c r="J30" s="35">
        <f t="shared" si="11"/>
        <v>22.008791593359373</v>
      </c>
      <c r="K30" s="35">
        <f t="shared" si="11"/>
        <v>22.008239542052465</v>
      </c>
      <c r="L30" s="35">
        <f t="shared" si="11"/>
        <v>20.162762742052465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-2.4931999999999999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 t="shared" si="12"/>
        <v>-361513.99999999994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/>
      <c r="D41" s="33">
        <f>-+D40*0.001425*0.45</f>
        <v>150.37312500000002</v>
      </c>
      <c r="E41" s="33">
        <f t="shared" ref="E41:F41" si="15">-+E40*0.001425*0.45</f>
        <v>111.57750000000001</v>
      </c>
      <c r="F41" s="33">
        <f t="shared" si="15"/>
        <v>115.425</v>
      </c>
      <c r="G41" s="33"/>
      <c r="H41" s="33">
        <f t="shared" ref="H41" si="16">-+H40*0.001425*0.45</f>
        <v>250.72875000000005</v>
      </c>
      <c r="I41" s="33">
        <f t="shared" ref="I41:L41" si="17">-+I40*0.001425*0.45</f>
        <v>50.786999999999999</v>
      </c>
      <c r="J41" s="33">
        <f t="shared" si="17"/>
        <v>51.043500000000002</v>
      </c>
      <c r="K41" s="33">
        <f t="shared" si="17"/>
        <v>51.556500000000007</v>
      </c>
      <c r="L41" s="33">
        <f t="shared" si="17"/>
        <v>77.911875000000009</v>
      </c>
    </row>
    <row r="42" spans="1:12">
      <c r="A42" s="32" t="s">
        <v>13</v>
      </c>
      <c r="B42" s="61" t="s">
        <v>14</v>
      </c>
      <c r="C42" s="33"/>
      <c r="D42" s="33">
        <f>-ROUNDDOWN(D40*3/1000,0)+1</f>
        <v>704</v>
      </c>
      <c r="E42" s="33">
        <f t="shared" ref="E42:F42" si="18">-ROUNDDOWN(E40*3/1000,0)</f>
        <v>522</v>
      </c>
      <c r="F42" s="33">
        <f t="shared" si="18"/>
        <v>540</v>
      </c>
      <c r="G42" s="33"/>
      <c r="H42" s="33">
        <f t="shared" ref="H42" si="19">-ROUNDDOWN(H40*3/1000,0)</f>
        <v>1173</v>
      </c>
      <c r="I42" s="33">
        <f t="shared" ref="I42:L42" si="20">-ROUNDDOWN(I40*3/1000,0)</f>
        <v>237</v>
      </c>
      <c r="J42" s="33">
        <f t="shared" si="20"/>
        <v>238</v>
      </c>
      <c r="K42" s="33">
        <f t="shared" si="20"/>
        <v>241</v>
      </c>
      <c r="L42" s="33">
        <f t="shared" si="20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-298967.24159999995</v>
      </c>
      <c r="D44" s="83">
        <f>SUM(D40:D43)</f>
        <v>-233645.62687499999</v>
      </c>
      <c r="E44" s="83">
        <f t="shared" ref="E44:G44" si="21">SUM(E40:E43)</f>
        <v>-173366.42249999999</v>
      </c>
      <c r="F44" s="83">
        <f t="shared" si="21"/>
        <v>-179344.57500000001</v>
      </c>
      <c r="G44" s="83">
        <f t="shared" si="21"/>
        <v>-361513.99999999994</v>
      </c>
      <c r="H44" s="83">
        <f t="shared" ref="H44" si="22">SUM(H40:H43)</f>
        <v>-389576.27124999999</v>
      </c>
      <c r="I44" s="83">
        <f t="shared" ref="I44:L44" si="23">SUM(I40:I43)</f>
        <v>-78912.213000000003</v>
      </c>
      <c r="J44" s="83">
        <f t="shared" si="23"/>
        <v>-79310.9565</v>
      </c>
      <c r="K44" s="83">
        <f t="shared" si="23"/>
        <v>-80107.443499999994</v>
      </c>
      <c r="L44" s="83">
        <f t="shared" si="23"/>
        <v>-121058.08812499999</v>
      </c>
    </row>
    <row r="45" spans="1:12">
      <c r="A45" s="75" t="s">
        <v>19</v>
      </c>
      <c r="B45" s="76" t="s">
        <v>20</v>
      </c>
      <c r="C45" s="77">
        <v>3266367.5642124997</v>
      </c>
      <c r="D45" s="77">
        <f>C45+D44</f>
        <v>3032721.9373374996</v>
      </c>
      <c r="E45" s="77">
        <f t="shared" ref="E45:F45" si="24">D45+E44</f>
        <v>2859355.5148374997</v>
      </c>
      <c r="F45" s="77">
        <f t="shared" si="24"/>
        <v>2680010.9398374995</v>
      </c>
      <c r="G45" s="77">
        <f>F45+G44</f>
        <v>2318496.9398374995</v>
      </c>
      <c r="H45" s="77">
        <f>G45+H44</f>
        <v>1928920.6685874995</v>
      </c>
      <c r="I45" s="77">
        <f>H45+I44</f>
        <v>1850008.4555874995</v>
      </c>
      <c r="J45" s="77">
        <f t="shared" ref="J45:L45" si="25">I45+J44</f>
        <v>1770697.4990874995</v>
      </c>
      <c r="K45" s="77">
        <f t="shared" si="25"/>
        <v>1690590.0555874994</v>
      </c>
      <c r="L45" s="77">
        <f t="shared" si="25"/>
        <v>1569531.9674624994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6">I46+J39</f>
        <v>131</v>
      </c>
      <c r="K46" s="19">
        <f t="shared" si="26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20.162762742052465</v>
      </c>
      <c r="D47" s="44">
        <f t="shared" ref="D47" si="27">+D45/D46/1000</f>
        <v>19.565947982822578</v>
      </c>
      <c r="E47" s="44">
        <f t="shared" ref="E47" si="28">+E45/E46/1000</f>
        <v>19.062370098916663</v>
      </c>
      <c r="F47" s="44">
        <f t="shared" ref="F47:G47" si="29">+F45/F46/1000</f>
        <v>18.482834067844827</v>
      </c>
      <c r="G47" s="44">
        <f t="shared" si="29"/>
        <v>15.989634067844825</v>
      </c>
      <c r="H47" s="20">
        <f t="shared" ref="H47" si="30">+H45/H46/1000</f>
        <v>14.288301248796293</v>
      </c>
      <c r="I47" s="34">
        <f t="shared" ref="I47:L47" si="31">+I45/I46/1000</f>
        <v>13.909838011936086</v>
      </c>
      <c r="J47" s="34">
        <f t="shared" si="31"/>
        <v>13.516774802194652</v>
      </c>
      <c r="K47" s="34">
        <f t="shared" si="31"/>
        <v>13.10534926812015</v>
      </c>
      <c r="L47" s="34">
        <f t="shared" si="31"/>
        <v>12.456602916369043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2">+C55*C56*1000</f>
        <v>-80200</v>
      </c>
      <c r="D57" s="80">
        <f t="shared" si="32"/>
        <v>-197250</v>
      </c>
      <c r="E57" s="80">
        <f t="shared" si="32"/>
        <v>-201500</v>
      </c>
      <c r="F57" s="80">
        <f t="shared" ref="F57:K57" si="33">+F55*F56*1000</f>
        <v>-40450</v>
      </c>
      <c r="G57" s="80">
        <f t="shared" si="33"/>
        <v>-80900</v>
      </c>
      <c r="H57" s="80">
        <f t="shared" si="33"/>
        <v>-40500</v>
      </c>
      <c r="I57" s="80">
        <f t="shared" si="33"/>
        <v>-40550</v>
      </c>
      <c r="J57" s="80">
        <f t="shared" si="33"/>
        <v>-40650</v>
      </c>
      <c r="K57" s="80">
        <f t="shared" si="33"/>
        <v>-40750</v>
      </c>
      <c r="L57" s="80">
        <f t="shared" ref="L57" si="34">+L55*L56*1000</f>
        <v>-41200</v>
      </c>
    </row>
    <row r="58" spans="1:12">
      <c r="A58" s="32" t="s">
        <v>11</v>
      </c>
      <c r="B58" s="61" t="s">
        <v>12</v>
      </c>
      <c r="C58" s="33">
        <f t="shared" ref="C58:E58" si="35">-+C57*0.001425*0.45</f>
        <v>51.428250000000006</v>
      </c>
      <c r="D58" s="33">
        <f t="shared" si="35"/>
        <v>126.48656250000001</v>
      </c>
      <c r="E58" s="33">
        <f t="shared" si="35"/>
        <v>129.21187499999999</v>
      </c>
      <c r="F58" s="33">
        <f t="shared" ref="F58:K58" si="36">-+F57*0.001425*0.45</f>
        <v>25.9385625</v>
      </c>
      <c r="G58" s="33">
        <f t="shared" si="36"/>
        <v>51.877124999999999</v>
      </c>
      <c r="H58" s="33">
        <f t="shared" si="36"/>
        <v>25.970624999999998</v>
      </c>
      <c r="I58" s="33">
        <f t="shared" si="36"/>
        <v>26.002687500000004</v>
      </c>
      <c r="J58" s="33">
        <f t="shared" si="36"/>
        <v>26.066812500000001</v>
      </c>
      <c r="K58" s="33">
        <f t="shared" si="36"/>
        <v>26.130937500000002</v>
      </c>
      <c r="L58" s="33">
        <f t="shared" ref="L58" si="37">-+L57*0.001425*0.45</f>
        <v>26.419499999999999</v>
      </c>
    </row>
    <row r="59" spans="1:12">
      <c r="A59" s="32" t="s">
        <v>13</v>
      </c>
      <c r="B59" s="61" t="s">
        <v>14</v>
      </c>
      <c r="C59" s="33">
        <f t="shared" ref="C59:E59" si="38">-ROUNDDOWN(C57*3/1000,0)</f>
        <v>240</v>
      </c>
      <c r="D59" s="33">
        <f t="shared" si="38"/>
        <v>591</v>
      </c>
      <c r="E59" s="33">
        <f t="shared" si="38"/>
        <v>604</v>
      </c>
      <c r="F59" s="33">
        <f t="shared" ref="F59:K59" si="39">-ROUNDDOWN(F57*3/1000,0)</f>
        <v>121</v>
      </c>
      <c r="G59" s="33">
        <f t="shared" si="39"/>
        <v>242</v>
      </c>
      <c r="H59" s="33">
        <f t="shared" si="39"/>
        <v>121</v>
      </c>
      <c r="I59" s="33">
        <f t="shared" si="39"/>
        <v>121</v>
      </c>
      <c r="J59" s="33">
        <f t="shared" si="39"/>
        <v>121</v>
      </c>
      <c r="K59" s="33">
        <f t="shared" si="39"/>
        <v>122</v>
      </c>
      <c r="L59" s="33">
        <f t="shared" ref="L59" si="40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41">SUM(C57:C60)</f>
        <v>-79908.571750000003</v>
      </c>
      <c r="D61" s="83">
        <f t="shared" si="41"/>
        <v>-196532.51343749999</v>
      </c>
      <c r="E61" s="83">
        <f t="shared" si="41"/>
        <v>-200766.78812499999</v>
      </c>
      <c r="F61" s="83">
        <f t="shared" ref="F61:K61" si="42">SUM(F57:F60)</f>
        <v>-40303.0614375</v>
      </c>
      <c r="G61" s="83">
        <f t="shared" si="42"/>
        <v>-80606.122875000001</v>
      </c>
      <c r="H61" s="83">
        <f t="shared" si="42"/>
        <v>-40353.029374999998</v>
      </c>
      <c r="I61" s="83">
        <f t="shared" si="42"/>
        <v>-40402.997312500003</v>
      </c>
      <c r="J61" s="83">
        <f t="shared" si="42"/>
        <v>-40502.933187499999</v>
      </c>
      <c r="K61" s="83">
        <f t="shared" si="42"/>
        <v>-40601.869062500002</v>
      </c>
      <c r="L61" s="83">
        <f t="shared" ref="L61" si="43">SUM(L57:L60)</f>
        <v>-41050.580499999996</v>
      </c>
    </row>
    <row r="62" spans="1:12">
      <c r="A62" s="75" t="s">
        <v>19</v>
      </c>
      <c r="B62" s="76" t="s">
        <v>20</v>
      </c>
      <c r="C62" s="77">
        <f>L45+C61</f>
        <v>1489623.3957124995</v>
      </c>
      <c r="D62" s="77">
        <f>C62+D61</f>
        <v>1293090.8822749995</v>
      </c>
      <c r="E62" s="77">
        <f>D62+E61</f>
        <v>1092324.0941499996</v>
      </c>
      <c r="F62" s="77">
        <f>E62+F61</f>
        <v>1052021.0327124996</v>
      </c>
      <c r="G62" s="77">
        <f t="shared" ref="G62:L62" si="44">F62+G61</f>
        <v>971414.90983749961</v>
      </c>
      <c r="H62" s="77">
        <f t="shared" si="44"/>
        <v>931061.88046249957</v>
      </c>
      <c r="I62" s="77">
        <f t="shared" si="44"/>
        <v>890658.88314999954</v>
      </c>
      <c r="J62" s="77">
        <f t="shared" si="44"/>
        <v>850155.94996249955</v>
      </c>
      <c r="K62" s="77">
        <f t="shared" si="44"/>
        <v>809554.08089999959</v>
      </c>
      <c r="L62" s="77">
        <f t="shared" si="44"/>
        <v>768503.50039999955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5">F63+G56</f>
        <v>111</v>
      </c>
      <c r="H63" s="19">
        <f t="shared" si="45"/>
        <v>110</v>
      </c>
      <c r="I63" s="19">
        <f t="shared" si="45"/>
        <v>109</v>
      </c>
      <c r="J63" s="19">
        <f t="shared" si="45"/>
        <v>108</v>
      </c>
      <c r="K63" s="19">
        <f t="shared" si="45"/>
        <v>107</v>
      </c>
      <c r="L63" s="19">
        <f t="shared" si="45"/>
        <v>106</v>
      </c>
    </row>
    <row r="64" spans="1:12">
      <c r="A64" s="6" t="s">
        <v>23</v>
      </c>
      <c r="B64" s="7" t="s">
        <v>24</v>
      </c>
      <c r="C64" s="34">
        <f t="shared" ref="C64:E64" si="46">+C62/C63/1000</f>
        <v>12.013091900907256</v>
      </c>
      <c r="D64" s="34">
        <f t="shared" si="46"/>
        <v>10.866309935084029</v>
      </c>
      <c r="E64" s="34">
        <f t="shared" si="46"/>
        <v>9.5817902995614013</v>
      </c>
      <c r="F64" s="34">
        <f t="shared" ref="F64:K64" si="47">+F62/F63/1000</f>
        <v>9.3099206434734487</v>
      </c>
      <c r="G64" s="34">
        <f t="shared" si="47"/>
        <v>8.7514856742117075</v>
      </c>
      <c r="H64" s="34">
        <f t="shared" si="47"/>
        <v>8.4641989132954514</v>
      </c>
      <c r="I64" s="34">
        <f t="shared" si="47"/>
        <v>8.1711824142201799</v>
      </c>
      <c r="J64" s="34">
        <f t="shared" si="47"/>
        <v>7.8718143515046259</v>
      </c>
      <c r="K64" s="34">
        <f t="shared" si="47"/>
        <v>7.5659259897196227</v>
      </c>
      <c r="L64" s="34">
        <f t="shared" ref="L64" si="48">+L62/L63/1000</f>
        <v>7.2500330226415057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9">+C72*C73*1000</f>
        <v>-83200</v>
      </c>
      <c r="D74" s="80">
        <f t="shared" si="49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50">-+C74*0.001425*0.45</f>
        <v>53.352000000000004</v>
      </c>
      <c r="D75" s="33">
        <f t="shared" si="50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51">-ROUNDDOWN(C74*3/1000,0)</f>
        <v>249</v>
      </c>
      <c r="D76" s="33">
        <f t="shared" si="51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52">SUM(C74:C77)</f>
        <v>-82897.648000000001</v>
      </c>
      <c r="D78" s="83">
        <f t="shared" si="52"/>
        <v>-41648.195749999999</v>
      </c>
      <c r="E78" s="83">
        <f t="shared" si="52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685605.85239999951</v>
      </c>
      <c r="D79" s="94">
        <f>C79+D78</f>
        <v>643957.65664999955</v>
      </c>
      <c r="E79" s="77">
        <f>D79+E78</f>
        <v>431626.65664999955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3">+C79/C80/1000</f>
        <v>6.5923639653846102</v>
      </c>
      <c r="D81" s="20">
        <f t="shared" si="53"/>
        <v>6.2520160839805783</v>
      </c>
      <c r="E81" s="44">
        <f t="shared" si="53"/>
        <v>4.1905500645631024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4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5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6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7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F14" sqref="F1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+C6*0.001425*0.45</f>
        <v>328.32</v>
      </c>
      <c r="D7" s="318">
        <f t="shared" ref="D7:G7" si="1">+D6*0.001425*0.45</f>
        <v>817.59375</v>
      </c>
      <c r="E7" s="318">
        <f t="shared" si="1"/>
        <v>488.63250000000005</v>
      </c>
      <c r="F7" s="318">
        <f t="shared" si="1"/>
        <v>809.578125</v>
      </c>
      <c r="G7" s="41">
        <f t="shared" si="1"/>
        <v>124.08187500000001</v>
      </c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512328.32</v>
      </c>
      <c r="D10" s="319">
        <f t="shared" ref="D10:H10" si="2">+D6+D7</f>
        <v>1275817.59375</v>
      </c>
      <c r="E10" s="319">
        <f t="shared" si="2"/>
        <v>762488.63249999995</v>
      </c>
      <c r="F10" s="319">
        <f t="shared" si="2"/>
        <v>1263309.578125</v>
      </c>
      <c r="G10" s="163">
        <f t="shared" si="2"/>
        <v>193624.081875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zoomScale="115" zoomScaleNormal="115" workbookViewId="0">
      <selection activeCell="C7" sqref="C7:L7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ROUNDDOWN(+C4*C5*1000,0)</f>
        <v>170500</v>
      </c>
      <c r="D6" s="80">
        <f t="shared" ref="D6:L6" si="0">ROUNDDOWN(+D4*D5*1000,0)</f>
        <v>170000</v>
      </c>
      <c r="E6" s="80">
        <f t="shared" si="0"/>
        <v>339000</v>
      </c>
      <c r="F6" s="80">
        <f t="shared" si="0"/>
        <v>168250</v>
      </c>
      <c r="G6" s="80">
        <f t="shared" si="0"/>
        <v>1430000</v>
      </c>
      <c r="H6" s="80">
        <f t="shared" si="0"/>
        <v>141250</v>
      </c>
      <c r="I6" s="80">
        <f t="shared" si="0"/>
        <v>144250</v>
      </c>
      <c r="J6" s="80">
        <f t="shared" si="0"/>
        <v>434250</v>
      </c>
      <c r="K6" s="80">
        <f t="shared" si="0"/>
        <v>432750</v>
      </c>
      <c r="L6" s="80">
        <f t="shared" si="0"/>
        <v>432000</v>
      </c>
    </row>
    <row r="7" spans="1:12">
      <c r="A7" s="32" t="s">
        <v>11</v>
      </c>
      <c r="B7" s="61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</v>
      </c>
      <c r="D10" s="83">
        <f>SUM(D6:D9)</f>
        <v>170109</v>
      </c>
      <c r="E10" s="83">
        <f t="shared" ref="E10:F10" si="2">SUM(E6:E9)</f>
        <v>339217</v>
      </c>
      <c r="F10" s="83">
        <f t="shared" si="2"/>
        <v>168357</v>
      </c>
      <c r="G10" s="83">
        <f t="shared" ref="G10:H10" si="3">SUM(G6:G9)</f>
        <v>1430916</v>
      </c>
      <c r="H10" s="83">
        <f t="shared" si="3"/>
        <v>141340</v>
      </c>
      <c r="I10" s="83">
        <f t="shared" ref="I10:K10" si="4">SUM(I6:I9)</f>
        <v>144342</v>
      </c>
      <c r="J10" s="83">
        <f t="shared" si="4"/>
        <v>434528</v>
      </c>
      <c r="K10" s="83">
        <f t="shared" si="4"/>
        <v>433027</v>
      </c>
      <c r="L10" s="83">
        <f t="shared" ref="L10" si="5">SUM(L6:L9)</f>
        <v>432277</v>
      </c>
    </row>
    <row r="11" spans="1:12">
      <c r="A11" s="75" t="s">
        <v>19</v>
      </c>
      <c r="B11" s="76" t="s">
        <v>20</v>
      </c>
      <c r="C11" s="77">
        <f>+C10</f>
        <v>170609</v>
      </c>
      <c r="D11" s="77">
        <f>+C11+D10</f>
        <v>340718</v>
      </c>
      <c r="E11" s="77">
        <f t="shared" ref="E11:I11" si="6">+D11+E10</f>
        <v>679935</v>
      </c>
      <c r="F11" s="77">
        <f t="shared" si="6"/>
        <v>848292</v>
      </c>
      <c r="G11" s="77">
        <f t="shared" si="6"/>
        <v>2279208</v>
      </c>
      <c r="H11" s="77">
        <f t="shared" si="6"/>
        <v>2420548</v>
      </c>
      <c r="I11" s="77">
        <f t="shared" si="6"/>
        <v>2564890</v>
      </c>
      <c r="J11" s="77">
        <f t="shared" ref="J11" si="7">+I11+J10</f>
        <v>2999418</v>
      </c>
      <c r="K11" s="77">
        <f t="shared" ref="K11:L11" si="8">+J11+K10</f>
        <v>3432445</v>
      </c>
      <c r="L11" s="77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16">+E21*E22*1000</f>
        <v>143250</v>
      </c>
      <c r="F23" s="80">
        <f t="shared" si="16"/>
        <v>286000</v>
      </c>
      <c r="G23" s="80">
        <f t="shared" si="16"/>
        <v>142750</v>
      </c>
      <c r="H23" s="80">
        <f t="shared" si="16"/>
        <v>142500</v>
      </c>
      <c r="I23" s="80">
        <f t="shared" si="16"/>
        <v>142250</v>
      </c>
      <c r="J23" s="80">
        <f>J21*J22*1000</f>
        <v>-350000</v>
      </c>
      <c r="K23" s="80">
        <f t="shared" si="16"/>
        <v>-350000</v>
      </c>
      <c r="L23" s="80">
        <f t="shared" si="16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17">+E23*0.001425</f>
        <v>204.13124999999999</v>
      </c>
      <c r="F24" s="33">
        <f t="shared" si="17"/>
        <v>407.55</v>
      </c>
      <c r="G24" s="33">
        <f t="shared" si="17"/>
        <v>203.41875000000002</v>
      </c>
      <c r="H24" s="33">
        <f t="shared" si="17"/>
        <v>203.0625</v>
      </c>
      <c r="I24" s="33">
        <f t="shared" si="17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18">SUM(E23:E26)</f>
        <v>143454.13125000001</v>
      </c>
      <c r="F27" s="83">
        <f t="shared" si="18"/>
        <v>286407.55</v>
      </c>
      <c r="G27" s="83">
        <f t="shared" si="18"/>
        <v>142953.41875000001</v>
      </c>
      <c r="H27" s="83">
        <f t="shared" si="18"/>
        <v>142703.0625</v>
      </c>
      <c r="I27" s="83">
        <f t="shared" si="18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4152222</v>
      </c>
      <c r="D28" s="94">
        <f>+C28+D27</f>
        <v>4295926.4874999998</v>
      </c>
      <c r="E28" s="94">
        <f t="shared" ref="E28:I28" si="19">+D28+E27</f>
        <v>4439380.6187499994</v>
      </c>
      <c r="F28" s="94">
        <f t="shared" si="19"/>
        <v>4725788.1687499993</v>
      </c>
      <c r="G28" s="94">
        <f t="shared" si="19"/>
        <v>4868741.5874999994</v>
      </c>
      <c r="H28" s="94">
        <f t="shared" si="19"/>
        <v>5011444.6499999994</v>
      </c>
      <c r="I28" s="94">
        <f t="shared" si="19"/>
        <v>5153897.3562499993</v>
      </c>
      <c r="J28" s="77">
        <f>I28+J27</f>
        <v>4804136.3562499993</v>
      </c>
      <c r="K28" s="77">
        <f t="shared" ref="K28" si="20">J28+K27</f>
        <v>4454375.3562499993</v>
      </c>
      <c r="L28" s="77">
        <f>K28+L27</f>
        <v>4058836.3562499993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29.658728571428572</v>
      </c>
      <c r="D30" s="20">
        <f>+D28/D29/1000</f>
        <v>29.62707922413793</v>
      </c>
      <c r="E30" s="20">
        <f t="shared" ref="E30:I30" si="23">+E28/E29/1000</f>
        <v>29.595870791666666</v>
      </c>
      <c r="F30" s="20">
        <f t="shared" si="23"/>
        <v>29.536176054687495</v>
      </c>
      <c r="G30" s="20">
        <f t="shared" si="23"/>
        <v>29.507524772727269</v>
      </c>
      <c r="H30" s="20">
        <f t="shared" si="23"/>
        <v>29.479086176470584</v>
      </c>
      <c r="I30" s="20">
        <f t="shared" si="23"/>
        <v>29.450842035714281</v>
      </c>
      <c r="J30" s="45">
        <f>J28/J29/1000</f>
        <v>27.452207749999992</v>
      </c>
      <c r="K30" s="45">
        <f t="shared" ref="K30:L30" si="24">K28/K29/1000</f>
        <v>25.453573464285711</v>
      </c>
      <c r="L30" s="45">
        <f t="shared" si="24"/>
        <v>23.193350607142854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25">+D38*D39*1000</f>
        <v>-331800</v>
      </c>
      <c r="E40" s="80">
        <f t="shared" si="25"/>
        <v>-105200</v>
      </c>
      <c r="F40" s="80">
        <f t="shared" ref="F40:I40" si="26">+F38*F39*1000</f>
        <v>-159899.99999999997</v>
      </c>
      <c r="G40" s="80">
        <f t="shared" si="26"/>
        <v>-268000</v>
      </c>
      <c r="H40" s="80">
        <f t="shared" si="26"/>
        <v>-269000</v>
      </c>
      <c r="I40" s="80">
        <f t="shared" si="26"/>
        <v>-270000</v>
      </c>
      <c r="J40" s="80">
        <f t="shared" ref="J40:K40" si="27">+J38*J39*1000</f>
        <v>-266500</v>
      </c>
      <c r="K40" s="80">
        <f t="shared" si="27"/>
        <v>-268000</v>
      </c>
      <c r="L40" s="80">
        <f t="shared" ref="L40" si="28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29">-(+E40*0.001425*0.45)</f>
        <v>67.459500000000006</v>
      </c>
      <c r="F41" s="33">
        <f t="shared" si="29"/>
        <v>102.53587499999999</v>
      </c>
      <c r="G41" s="33">
        <f t="shared" si="29"/>
        <v>171.85500000000002</v>
      </c>
      <c r="H41" s="33">
        <f t="shared" si="29"/>
        <v>172.49625</v>
      </c>
      <c r="I41" s="33">
        <f t="shared" si="29"/>
        <v>173.13750000000002</v>
      </c>
      <c r="J41" s="33">
        <f t="shared" si="29"/>
        <v>170.893125</v>
      </c>
      <c r="K41" s="33">
        <f t="shared" si="29"/>
        <v>171.85500000000002</v>
      </c>
      <c r="L41" s="33">
        <f t="shared" ref="L41" si="30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1">-ROUNDDOWN(E40*3/1000,0)</f>
        <v>315</v>
      </c>
      <c r="F42" s="33">
        <f t="shared" si="31"/>
        <v>479</v>
      </c>
      <c r="G42" s="33">
        <f t="shared" si="31"/>
        <v>804</v>
      </c>
      <c r="H42" s="33">
        <f t="shared" si="31"/>
        <v>807</v>
      </c>
      <c r="I42" s="33">
        <f t="shared" si="31"/>
        <v>810</v>
      </c>
      <c r="J42" s="33">
        <f t="shared" si="31"/>
        <v>799</v>
      </c>
      <c r="K42" s="33">
        <f t="shared" si="31"/>
        <v>804</v>
      </c>
      <c r="L42" s="33">
        <f t="shared" ref="L42" si="32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3">SUM(E40:E43)</f>
        <v>-104817.5405</v>
      </c>
      <c r="F44" s="83">
        <f t="shared" si="33"/>
        <v>-159318.46412499997</v>
      </c>
      <c r="G44" s="83">
        <f t="shared" si="33"/>
        <v>-267024.14500000002</v>
      </c>
      <c r="H44" s="83">
        <f t="shared" si="33"/>
        <v>-268020.50374999997</v>
      </c>
      <c r="I44" s="83">
        <f t="shared" si="33"/>
        <v>-269016.86249999999</v>
      </c>
      <c r="J44" s="83">
        <f t="shared" ref="J44:K44" si="34">SUM(J40:J43)</f>
        <v>-265530.106875</v>
      </c>
      <c r="K44" s="83">
        <f t="shared" si="34"/>
        <v>-267024.14500000002</v>
      </c>
      <c r="L44" s="83">
        <f t="shared" ref="L44" si="35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36">E44+D45</f>
        <v>3622233.4835625002</v>
      </c>
      <c r="F45" s="77">
        <f t="shared" ref="F45" si="37">F44+E45</f>
        <v>3462915.0194375003</v>
      </c>
      <c r="G45" s="77">
        <f t="shared" ref="G45" si="38">G44+F45</f>
        <v>3195890.8744375003</v>
      </c>
      <c r="H45" s="77">
        <f t="shared" ref="H45" si="39">H44+G45</f>
        <v>2927870.3706875001</v>
      </c>
      <c r="I45" s="77">
        <f t="shared" ref="I45:L45" si="40">I44+H45</f>
        <v>2658853.5081875003</v>
      </c>
      <c r="J45" s="77">
        <f t="shared" si="40"/>
        <v>2393323.4013125002</v>
      </c>
      <c r="K45" s="77">
        <f t="shared" si="40"/>
        <v>2126299.2563125002</v>
      </c>
      <c r="L45" s="77">
        <f t="shared" si="40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1">+D46+E39</f>
        <v>173</v>
      </c>
      <c r="F46" s="19">
        <f t="shared" ref="F46" si="42">+E46+F39</f>
        <v>170</v>
      </c>
      <c r="G46" s="19">
        <f t="shared" ref="G46" si="43">+F46+G39</f>
        <v>165</v>
      </c>
      <c r="H46" s="19">
        <f t="shared" ref="H46" si="44">+G46+H39</f>
        <v>160</v>
      </c>
      <c r="I46" s="19">
        <f t="shared" ref="I46" si="45">+H46+I39</f>
        <v>155</v>
      </c>
      <c r="J46" s="19">
        <f t="shared" ref="J46" si="46">+I46+J39</f>
        <v>150</v>
      </c>
      <c r="K46" s="19">
        <f t="shared" ref="K46:L46" si="47">+J46+K39</f>
        <v>145</v>
      </c>
      <c r="L46" s="19">
        <f t="shared" si="47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48">+E45/E46/1000</f>
        <v>20.93776580093931</v>
      </c>
      <c r="F47" s="20">
        <f t="shared" si="48"/>
        <v>20.370088349632354</v>
      </c>
      <c r="G47" s="20">
        <f t="shared" si="48"/>
        <v>19.369035602651518</v>
      </c>
      <c r="H47" s="20">
        <f t="shared" si="48"/>
        <v>18.299189816796876</v>
      </c>
      <c r="I47" s="34">
        <f t="shared" si="48"/>
        <v>17.153893601209678</v>
      </c>
      <c r="J47" s="34">
        <f t="shared" ref="J47:K47" si="49">+J45/J46/1000</f>
        <v>15.955489342083334</v>
      </c>
      <c r="K47" s="34">
        <f t="shared" si="49"/>
        <v>14.664132802155175</v>
      </c>
      <c r="L47" s="34">
        <f t="shared" ref="L47" si="50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1">+C55*C56*1000</f>
        <v>-264500</v>
      </c>
      <c r="D57" s="80">
        <f t="shared" si="51"/>
        <v>-267500</v>
      </c>
      <c r="E57" s="80">
        <f t="shared" si="51"/>
        <v>-268000</v>
      </c>
      <c r="F57" s="80">
        <f t="shared" si="51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2">-(+C57*0.001425*0.45)</f>
        <v>169.61062500000003</v>
      </c>
      <c r="D58" s="33">
        <f t="shared" si="52"/>
        <v>171.53437500000001</v>
      </c>
      <c r="E58" s="33">
        <f t="shared" si="52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3">-ROUNDDOWN(C57*3/1000,0)</f>
        <v>793</v>
      </c>
      <c r="D59" s="33">
        <f t="shared" si="53"/>
        <v>802</v>
      </c>
      <c r="E59" s="33">
        <f t="shared" si="53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54">SUM(C57:C60)</f>
        <v>-263537.38937500003</v>
      </c>
      <c r="D61" s="83">
        <f t="shared" si="54"/>
        <v>-266526.46562500001</v>
      </c>
      <c r="E61" s="83">
        <f t="shared" si="54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5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56">D62/D63/1000</f>
        <v>8.5612638505000032</v>
      </c>
      <c r="E64" s="34">
        <f t="shared" si="56"/>
        <v>6.6927819692708352</v>
      </c>
      <c r="F64" s="45">
        <f t="shared" si="56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571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51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489</v>
      </c>
      <c r="B30" s="335"/>
      <c r="C30" s="335"/>
      <c r="D30" s="335"/>
      <c r="E30" s="336"/>
      <c r="F30" s="354">
        <f>O30+T32</f>
        <v>165716881.03200001</v>
      </c>
      <c r="G30" s="355">
        <f t="shared" ref="G30:H31" si="9">B19+G21</f>
        <v>8</v>
      </c>
      <c r="H30" s="356">
        <f t="shared" si="9"/>
        <v>167887</v>
      </c>
      <c r="I30" s="219"/>
      <c r="J30" s="366" t="s">
        <v>479</v>
      </c>
      <c r="K30" s="139"/>
      <c r="L30" s="405">
        <f>SUM(L12:L29)-L28</f>
        <v>91346259.96800001</v>
      </c>
      <c r="M30" s="271"/>
      <c r="N30" s="410" t="s">
        <v>517</v>
      </c>
      <c r="O30" s="398">
        <f>SUM(O12:O29)-O28</f>
        <v>141056481</v>
      </c>
      <c r="P30" s="407">
        <f>O30-L30</f>
        <v>49710221.03199999</v>
      </c>
      <c r="Q30" s="408">
        <f>SUM(Q12:Q29)</f>
        <v>80.8339887445198</v>
      </c>
      <c r="R30" s="374">
        <f>SUM(R12:R29)</f>
        <v>36836282</v>
      </c>
      <c r="S30" s="403">
        <f>SUM(S12:S22)</f>
        <v>100</v>
      </c>
      <c r="T30" s="381">
        <f>SUM(T12:T29)</f>
        <v>12873939.032000002</v>
      </c>
      <c r="U30" s="379">
        <f>SUM(U12:U29)</f>
        <v>52.204907524997282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#REF!+F22</f>
        <v>#REF!</v>
      </c>
      <c r="G31" s="358">
        <f t="shared" si="9"/>
        <v>9</v>
      </c>
      <c r="H31" s="359">
        <f t="shared" si="9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490</v>
      </c>
      <c r="B32" s="341"/>
      <c r="C32" s="341"/>
      <c r="D32" s="341"/>
      <c r="E32" s="342"/>
      <c r="F32" s="360">
        <f>T35/L30</f>
        <v>1.8141616426337888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61496682.03199999</v>
      </c>
      <c r="Q32" s="386">
        <f>Q30+Q11</f>
        <v>100.00000000000003</v>
      </c>
      <c r="R32" s="370">
        <f>R30</f>
        <v>36836282</v>
      </c>
      <c r="S32" s="280" t="s">
        <v>491</v>
      </c>
      <c r="T32" s="372">
        <f>T30+T11</f>
        <v>24660400.032000002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59.899625122591374</v>
      </c>
      <c r="T33" s="373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  <mergeCell ref="J32:J33"/>
    <mergeCell ref="N32:N33"/>
    <mergeCell ref="O32:O33"/>
    <mergeCell ref="L30:L31"/>
    <mergeCell ref="N30:N31"/>
    <mergeCell ref="O30:O31"/>
    <mergeCell ref="A6:A11"/>
    <mergeCell ref="A28:A29"/>
    <mergeCell ref="A12:A27"/>
    <mergeCell ref="A32:E33"/>
    <mergeCell ref="F32:H33"/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88" t="s">
        <v>477</v>
      </c>
      <c r="L33" s="389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51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2" t="s">
        <v>489</v>
      </c>
      <c r="B26" s="423"/>
      <c r="C26" s="423"/>
      <c r="D26" s="423"/>
      <c r="E26" s="424"/>
      <c r="F26" s="425">
        <f>O26+T28</f>
        <v>184462879.06200001</v>
      </c>
      <c r="G26" s="426">
        <f t="shared" ref="G26:H27" si="9">B19+G21</f>
        <v>8</v>
      </c>
      <c r="H26" s="427">
        <f t="shared" si="9"/>
        <v>167887</v>
      </c>
      <c r="I26" s="219"/>
      <c r="J26" s="428" t="s">
        <v>479</v>
      </c>
      <c r="K26" s="139"/>
      <c r="L26" s="429">
        <f>SUM(L12:L25)</f>
        <v>93355482.938000008</v>
      </c>
      <c r="M26" s="291"/>
      <c r="N26" s="430" t="s">
        <v>517</v>
      </c>
      <c r="O26" s="431">
        <f>SUM(O12:O25)</f>
        <v>157899774</v>
      </c>
      <c r="P26" s="432">
        <f>O26-L26</f>
        <v>64544291.061999992</v>
      </c>
      <c r="Q26" s="433">
        <f>SUM(Q12:Q25)</f>
        <v>84.558699237724795</v>
      </c>
      <c r="R26" s="434">
        <f>SUM(R12:R25)</f>
        <v>49767647</v>
      </c>
      <c r="S26" s="419">
        <f>SUM(S12:S22)</f>
        <v>100.00000000000001</v>
      </c>
      <c r="T26" s="420">
        <f>SUM(T12:T25)</f>
        <v>14776644.061999999</v>
      </c>
      <c r="U26" s="421">
        <f>SUM(U12:U25)</f>
        <v>55.628451672010328</v>
      </c>
    </row>
    <row r="27" spans="1:21" ht="10.5" customHeight="1" thickBot="1">
      <c r="A27" s="337"/>
      <c r="B27" s="338"/>
      <c r="C27" s="338"/>
      <c r="D27" s="338"/>
      <c r="E27" s="339"/>
      <c r="F27" s="357" t="e">
        <f>#REF!+F22</f>
        <v>#REF!</v>
      </c>
      <c r="G27" s="358">
        <f t="shared" si="9"/>
        <v>9</v>
      </c>
      <c r="H27" s="359">
        <f t="shared" si="9"/>
        <v>160410</v>
      </c>
      <c r="I27" s="219"/>
      <c r="J27" s="367"/>
      <c r="K27" s="139"/>
      <c r="L27" s="406"/>
      <c r="M27" s="272"/>
      <c r="N27" s="411"/>
      <c r="O27" s="399"/>
      <c r="P27" s="385"/>
      <c r="Q27" s="409"/>
      <c r="R27" s="375"/>
      <c r="S27" s="404"/>
      <c r="T27" s="382"/>
      <c r="U27" s="380"/>
    </row>
    <row r="28" spans="1:21" ht="12.75" customHeight="1">
      <c r="A28" s="340" t="s">
        <v>490</v>
      </c>
      <c r="B28" s="341"/>
      <c r="C28" s="341"/>
      <c r="D28" s="341"/>
      <c r="E28" s="342"/>
      <c r="F28" s="360">
        <f>T31/L26</f>
        <v>1.9759190703829037</v>
      </c>
      <c r="G28" s="361"/>
      <c r="H28" s="362"/>
      <c r="I28" s="220"/>
      <c r="J28" s="352" t="s">
        <v>509</v>
      </c>
      <c r="K28" s="7"/>
      <c r="L28" s="247"/>
      <c r="M28" s="273"/>
      <c r="N28" s="412" t="s">
        <v>518</v>
      </c>
      <c r="O28" s="417">
        <v>157262951</v>
      </c>
      <c r="P28" s="384">
        <f>P26+P11</f>
        <v>76330752.061999992</v>
      </c>
      <c r="Q28" s="386">
        <f>Q26+Q11</f>
        <v>100</v>
      </c>
      <c r="R28" s="370">
        <f>R26</f>
        <v>49767647</v>
      </c>
      <c r="S28" s="280" t="s">
        <v>491</v>
      </c>
      <c r="T28" s="372">
        <f>T26+T11</f>
        <v>26563105.061999999</v>
      </c>
      <c r="U28" s="281" t="s">
        <v>492</v>
      </c>
    </row>
    <row r="29" spans="1:21" ht="14.25" customHeight="1" thickBot="1">
      <c r="A29" s="343"/>
      <c r="B29" s="344"/>
      <c r="C29" s="344"/>
      <c r="D29" s="344"/>
      <c r="E29" s="345"/>
      <c r="F29" s="363"/>
      <c r="G29" s="364"/>
      <c r="H29" s="365"/>
      <c r="I29" s="220"/>
      <c r="J29" s="353"/>
      <c r="K29" s="7"/>
      <c r="L29" s="248"/>
      <c r="M29" s="274"/>
      <c r="N29" s="413"/>
      <c r="O29" s="418"/>
      <c r="P29" s="385"/>
      <c r="Q29" s="387"/>
      <c r="R29" s="371"/>
      <c r="S29" s="282">
        <f>R28/P28*100</f>
        <v>65.199995618510357</v>
      </c>
      <c r="T29" s="373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489</v>
      </c>
      <c r="Q31" s="401"/>
      <c r="R31" s="401"/>
      <c r="S31" s="402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400" t="s">
        <v>490</v>
      </c>
      <c r="Q32" s="401"/>
      <c r="R32" s="401"/>
      <c r="S32" s="402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90" t="s">
        <v>493</v>
      </c>
      <c r="F35" s="390"/>
      <c r="G35" s="209"/>
      <c r="H35" s="395" t="s">
        <v>583</v>
      </c>
      <c r="I35" s="396"/>
      <c r="J35" s="396"/>
      <c r="K35" s="396"/>
      <c r="L35" s="396"/>
      <c r="M35" s="396"/>
      <c r="N35" s="396"/>
      <c r="O35" s="397"/>
      <c r="P35" s="376" t="s">
        <v>380</v>
      </c>
      <c r="Q35" s="377"/>
      <c r="R35" s="377"/>
      <c r="S35" s="377"/>
      <c r="T35" s="377"/>
      <c r="U35" s="378"/>
    </row>
    <row r="36" spans="1:21" ht="20.25" customHeight="1">
      <c r="A36" s="7"/>
      <c r="B36" s="383" t="s">
        <v>381</v>
      </c>
      <c r="C36" s="378"/>
      <c r="D36" s="123" t="s">
        <v>382</v>
      </c>
      <c r="E36" s="123" t="s">
        <v>383</v>
      </c>
      <c r="F36" s="123" t="s">
        <v>384</v>
      </c>
      <c r="G36" s="123"/>
      <c r="H36" s="394" t="s">
        <v>377</v>
      </c>
      <c r="I36" s="394"/>
      <c r="J36" s="394" t="s">
        <v>378</v>
      </c>
      <c r="K36" s="394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49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51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12:A25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A37:A38"/>
    <mergeCell ref="A28:E29"/>
    <mergeCell ref="F28:H29"/>
    <mergeCell ref="J28:J29"/>
    <mergeCell ref="N28:N29"/>
    <mergeCell ref="B36:C36"/>
    <mergeCell ref="H36:I36"/>
    <mergeCell ref="J36:K36"/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47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50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50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50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50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50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50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50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50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50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50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51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34" t="s">
        <v>489</v>
      </c>
      <c r="B25" s="335"/>
      <c r="C25" s="335"/>
      <c r="D25" s="335"/>
      <c r="E25" s="336"/>
      <c r="F25" s="425">
        <f>O25+T27</f>
        <v>188969858.07381201</v>
      </c>
      <c r="G25" s="426">
        <f>B18+G20</f>
        <v>8</v>
      </c>
      <c r="H25" s="427">
        <f t="shared" ref="H25:H26" si="8">C18+H20</f>
        <v>184387</v>
      </c>
      <c r="I25" s="219"/>
      <c r="J25" s="428" t="s">
        <v>479</v>
      </c>
      <c r="K25" s="139"/>
      <c r="L25" s="429">
        <f>SUM(L12:L24)</f>
        <v>88964637.926188007</v>
      </c>
      <c r="M25" s="291"/>
      <c r="N25" s="430" t="s">
        <v>517</v>
      </c>
      <c r="O25" s="431">
        <f>SUM(O12:O24)</f>
        <v>155684761</v>
      </c>
      <c r="P25" s="432">
        <f>O25-L25</f>
        <v>66720123.073811993</v>
      </c>
      <c r="Q25" s="433">
        <f>SUM(Q12:Q24)</f>
        <v>82.417766951269883</v>
      </c>
      <c r="R25" s="434">
        <f>SUM(R12:R24)</f>
        <v>47668471</v>
      </c>
      <c r="S25" s="419">
        <f>SUM(S12:S21)</f>
        <v>100.56309966392672</v>
      </c>
      <c r="T25" s="420">
        <f>SUM(T12:T24)</f>
        <v>19051652.073812</v>
      </c>
      <c r="U25" s="421">
        <f>SUM(U12:U24)</f>
        <v>57.237784320002575</v>
      </c>
    </row>
    <row r="26" spans="1:21" ht="10.5" customHeight="1" thickBot="1">
      <c r="A26" s="337"/>
      <c r="B26" s="338"/>
      <c r="C26" s="338"/>
      <c r="D26" s="338"/>
      <c r="E26" s="339"/>
      <c r="F26" s="357" t="e">
        <f>#REF!+F21</f>
        <v>#REF!</v>
      </c>
      <c r="G26" s="358">
        <f>B19+G21</f>
        <v>9</v>
      </c>
      <c r="H26" s="359">
        <f t="shared" si="8"/>
        <v>125410</v>
      </c>
      <c r="I26" s="219"/>
      <c r="J26" s="367"/>
      <c r="K26" s="139"/>
      <c r="L26" s="406"/>
      <c r="M26" s="272"/>
      <c r="N26" s="411"/>
      <c r="O26" s="399"/>
      <c r="P26" s="385"/>
      <c r="Q26" s="409"/>
      <c r="R26" s="375"/>
      <c r="S26" s="404"/>
      <c r="T26" s="382"/>
      <c r="U26" s="380"/>
    </row>
    <row r="27" spans="1:21" ht="12.75" customHeight="1">
      <c r="A27" s="340" t="s">
        <v>490</v>
      </c>
      <c r="B27" s="341"/>
      <c r="C27" s="341"/>
      <c r="D27" s="341"/>
      <c r="E27" s="342"/>
      <c r="F27" s="360">
        <f>T30/L25</f>
        <v>2.1241007941896659</v>
      </c>
      <c r="G27" s="361"/>
      <c r="H27" s="362"/>
      <c r="I27" s="220"/>
      <c r="J27" s="352" t="s">
        <v>509</v>
      </c>
      <c r="K27" s="7"/>
      <c r="L27" s="247"/>
      <c r="M27" s="273"/>
      <c r="N27" s="412" t="s">
        <v>518</v>
      </c>
      <c r="O27" s="417">
        <v>154812385</v>
      </c>
      <c r="P27" s="384">
        <f>P25+P11</f>
        <v>80953568.073811993</v>
      </c>
      <c r="Q27" s="386">
        <f>Q25+Q11</f>
        <v>100</v>
      </c>
      <c r="R27" s="370">
        <f>R25</f>
        <v>47668471</v>
      </c>
      <c r="S27" s="280" t="s">
        <v>491</v>
      </c>
      <c r="T27" s="372">
        <f>T25+T11</f>
        <v>33285097.073812</v>
      </c>
      <c r="U27" s="281" t="s">
        <v>492</v>
      </c>
    </row>
    <row r="28" spans="1:21" ht="14.25" customHeight="1" thickBot="1">
      <c r="A28" s="343"/>
      <c r="B28" s="344"/>
      <c r="C28" s="344"/>
      <c r="D28" s="344"/>
      <c r="E28" s="345"/>
      <c r="F28" s="363"/>
      <c r="G28" s="364"/>
      <c r="H28" s="365"/>
      <c r="I28" s="220"/>
      <c r="J28" s="353"/>
      <c r="K28" s="7"/>
      <c r="L28" s="248"/>
      <c r="M28" s="274"/>
      <c r="N28" s="413"/>
      <c r="O28" s="418"/>
      <c r="P28" s="385"/>
      <c r="Q28" s="387"/>
      <c r="R28" s="371"/>
      <c r="S28" s="282">
        <f>R27/P27*100</f>
        <v>58.883718326703956</v>
      </c>
      <c r="T28" s="373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400" t="s">
        <v>489</v>
      </c>
      <c r="Q30" s="401"/>
      <c r="R30" s="401"/>
      <c r="S30" s="402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490</v>
      </c>
      <c r="Q31" s="401"/>
      <c r="R31" s="401"/>
      <c r="S31" s="402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90" t="s">
        <v>493</v>
      </c>
      <c r="F34" s="390"/>
      <c r="G34" s="209"/>
      <c r="H34" s="395" t="s">
        <v>583</v>
      </c>
      <c r="I34" s="396"/>
      <c r="J34" s="396"/>
      <c r="K34" s="396"/>
      <c r="L34" s="396"/>
      <c r="M34" s="396"/>
      <c r="N34" s="396"/>
      <c r="O34" s="397"/>
      <c r="P34" s="376" t="s">
        <v>380</v>
      </c>
      <c r="Q34" s="377"/>
      <c r="R34" s="377"/>
      <c r="S34" s="377"/>
      <c r="T34" s="377"/>
      <c r="U34" s="378"/>
    </row>
    <row r="35" spans="1:21" ht="20.25" customHeight="1">
      <c r="A35" s="7"/>
      <c r="B35" s="383" t="s">
        <v>381</v>
      </c>
      <c r="C35" s="378"/>
      <c r="D35" s="123" t="s">
        <v>382</v>
      </c>
      <c r="E35" s="123" t="s">
        <v>383</v>
      </c>
      <c r="F35" s="123" t="s">
        <v>384</v>
      </c>
      <c r="G35" s="123"/>
      <c r="H35" s="394" t="s">
        <v>377</v>
      </c>
      <c r="I35" s="394"/>
      <c r="J35" s="394" t="s">
        <v>378</v>
      </c>
      <c r="K35" s="394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49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51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25:E26"/>
    <mergeCell ref="F25:H26"/>
    <mergeCell ref="J25:J26"/>
    <mergeCell ref="A12:A2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47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8">B20+G22</f>
        <v>9</v>
      </c>
      <c r="H30" s="356">
        <f t="shared" si="8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8"/>
        <v>10</v>
      </c>
      <c r="H31" s="359">
        <f t="shared" si="8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284"/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28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4:U4"/>
    <mergeCell ref="E3:F3"/>
    <mergeCell ref="L3:M3"/>
    <mergeCell ref="P3:Q3"/>
    <mergeCell ref="R3:S3"/>
    <mergeCell ref="T3:U3"/>
    <mergeCell ref="A6:A11"/>
    <mergeCell ref="A30:E31"/>
    <mergeCell ref="F30:H31"/>
    <mergeCell ref="J30:J31"/>
    <mergeCell ref="E4:F4"/>
    <mergeCell ref="H4:O4"/>
    <mergeCell ref="R30:R31"/>
    <mergeCell ref="S30:S31"/>
    <mergeCell ref="N32:N33"/>
    <mergeCell ref="B5:C5"/>
    <mergeCell ref="H5:I5"/>
    <mergeCell ref="J5:K5"/>
    <mergeCell ref="N30:N31"/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opLeftCell="A7" zoomScale="115" zoomScaleNormal="115" workbookViewId="0">
      <selection activeCell="D7" sqref="D7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ROUNDDOWN(+C6*0.001425*0.45,0)</f>
        <v>359</v>
      </c>
      <c r="D7" s="318">
        <f t="shared" ref="D7:I7" si="3">ROUNDDOWN(+D6*0.001425*0.45,0)</f>
        <v>359</v>
      </c>
      <c r="E7" s="318">
        <f t="shared" si="3"/>
        <v>359</v>
      </c>
      <c r="F7" s="318">
        <f t="shared" si="3"/>
        <v>359</v>
      </c>
      <c r="G7" s="318">
        <f t="shared" si="3"/>
        <v>359</v>
      </c>
      <c r="H7" s="318">
        <f t="shared" si="3"/>
        <v>356</v>
      </c>
      <c r="I7" s="318">
        <f t="shared" si="3"/>
        <v>356</v>
      </c>
      <c r="J7" s="318">
        <f>ROUNDDOWN(ABS(J6)*0.001425*0.45,0)</f>
        <v>192</v>
      </c>
      <c r="K7" s="318">
        <f t="shared" ref="K7:L7" si="4">ROUNDDOWN(ABS(K6)*0.001425*0.45,0)</f>
        <v>192</v>
      </c>
      <c r="L7" s="318">
        <f t="shared" si="4"/>
        <v>386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5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561558.99999999988</v>
      </c>
      <c r="D10" s="319">
        <f t="shared" ref="D10:G10" si="6">+D6+D7</f>
        <v>561558.99999999988</v>
      </c>
      <c r="E10" s="319">
        <f t="shared" si="6"/>
        <v>561558.99999999988</v>
      </c>
      <c r="F10" s="319">
        <f t="shared" si="6"/>
        <v>561359</v>
      </c>
      <c r="G10" s="319">
        <f t="shared" si="6"/>
        <v>561159</v>
      </c>
      <c r="H10" s="319">
        <f t="shared" ref="H10:I10" si="7">+H6+H7</f>
        <v>555956</v>
      </c>
      <c r="I10" s="319">
        <f t="shared" si="7"/>
        <v>555556</v>
      </c>
      <c r="J10" s="319">
        <f>SUM(J6:J9)</f>
        <v>-300008</v>
      </c>
      <c r="K10" s="319">
        <f t="shared" ref="K10:L10" si="8">SUM(K6:K9)</f>
        <v>-300307.99999999994</v>
      </c>
      <c r="L10" s="319">
        <f t="shared" si="8"/>
        <v>-601012</v>
      </c>
    </row>
    <row r="11" spans="1:12">
      <c r="A11" s="75" t="s">
        <v>19</v>
      </c>
      <c r="B11" s="76" t="s">
        <v>99</v>
      </c>
      <c r="C11" s="77">
        <f>+C10</f>
        <v>561558.99999999988</v>
      </c>
      <c r="D11" s="77">
        <f>+C11+D10</f>
        <v>1123117.9999999998</v>
      </c>
      <c r="E11" s="77">
        <f t="shared" ref="E11:G11" si="9">+D11+E10</f>
        <v>1684676.9999999995</v>
      </c>
      <c r="F11" s="77">
        <f t="shared" si="9"/>
        <v>2246035.9999999995</v>
      </c>
      <c r="G11" s="77">
        <f t="shared" si="9"/>
        <v>2807194.9999999995</v>
      </c>
      <c r="H11" s="77">
        <f t="shared" ref="H11" si="10">+G11+H10</f>
        <v>3363150.9999999995</v>
      </c>
      <c r="I11" s="77">
        <f t="shared" ref="I11" si="11">+H11+I10</f>
        <v>3918706.9999999995</v>
      </c>
      <c r="J11" s="77">
        <f>+I11+J10</f>
        <v>3618698.9999999995</v>
      </c>
      <c r="K11" s="77">
        <f t="shared" ref="K11:L11" si="12">+J11+K10</f>
        <v>3318390.9999999995</v>
      </c>
      <c r="L11" s="77">
        <f t="shared" si="12"/>
        <v>2717378.9999999995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3">+D12+E5</f>
        <v>60</v>
      </c>
      <c r="F12" s="19">
        <f t="shared" si="13"/>
        <v>80</v>
      </c>
      <c r="G12" s="19">
        <f t="shared" si="13"/>
        <v>100</v>
      </c>
      <c r="H12" s="19">
        <f t="shared" ref="H12" si="14">+G12+H5</f>
        <v>120</v>
      </c>
      <c r="I12" s="19">
        <f t="shared" ref="I12" si="15">+H12+I5</f>
        <v>140</v>
      </c>
      <c r="J12" s="17">
        <f>+I12+J5</f>
        <v>130</v>
      </c>
      <c r="K12" s="17">
        <f t="shared" ref="K12:L12" si="16">+J12+K5</f>
        <v>120</v>
      </c>
      <c r="L12" s="17">
        <f t="shared" si="16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28.077949999999994</v>
      </c>
      <c r="D13" s="20">
        <f t="shared" ref="D13:G13" si="17">+D11/D12/1000</f>
        <v>28.077949999999994</v>
      </c>
      <c r="E13" s="20">
        <f t="shared" si="17"/>
        <v>28.077949999999994</v>
      </c>
      <c r="F13" s="20">
        <f t="shared" si="17"/>
        <v>28.075449999999993</v>
      </c>
      <c r="G13" s="20">
        <f t="shared" si="17"/>
        <v>28.071949999999998</v>
      </c>
      <c r="H13" s="20">
        <f t="shared" ref="H13:J13" si="18">+H11/H12/1000</f>
        <v>28.026258333333327</v>
      </c>
      <c r="I13" s="20">
        <f t="shared" si="18"/>
        <v>27.990764285714281</v>
      </c>
      <c r="J13" s="20">
        <f t="shared" si="18"/>
        <v>27.836146153846151</v>
      </c>
      <c r="K13" s="20">
        <f t="shared" ref="K13:L13" si="19">+K11/K12/1000</f>
        <v>27.653258333333326</v>
      </c>
      <c r="L13" s="35">
        <f t="shared" si="19"/>
        <v>27.173789999999993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0">D21*D22*1000</f>
        <v>-180000</v>
      </c>
      <c r="E23" s="324">
        <f t="shared" si="20"/>
        <v>-210000</v>
      </c>
      <c r="F23" s="324">
        <f t="shared" si="20"/>
        <v>-100000</v>
      </c>
      <c r="G23" s="324">
        <f t="shared" si="20"/>
        <v>-120000</v>
      </c>
      <c r="H23" s="324">
        <f t="shared" ref="H23:I23" si="21">H21*H22*1000</f>
        <v>-70000</v>
      </c>
      <c r="I23" s="324">
        <f t="shared" si="21"/>
        <v>-79000</v>
      </c>
      <c r="J23" s="324">
        <f t="shared" ref="J23" si="22">J21*J22*1000</f>
        <v>-107000</v>
      </c>
      <c r="K23" s="324">
        <f t="shared" ref="K23" si="23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4">SUM(D23:D26)</f>
        <v>-179990</v>
      </c>
      <c r="E27" s="327">
        <f t="shared" si="24"/>
        <v>-209990</v>
      </c>
      <c r="F27" s="327">
        <f t="shared" si="24"/>
        <v>-99990</v>
      </c>
      <c r="G27" s="327">
        <f t="shared" si="24"/>
        <v>-119990</v>
      </c>
      <c r="H27" s="327">
        <f t="shared" ref="H27:I27" si="25">SUM(H23:H26)</f>
        <v>-69990</v>
      </c>
      <c r="I27" s="327">
        <f t="shared" si="25"/>
        <v>-78990</v>
      </c>
      <c r="J27" s="327">
        <f t="shared" ref="J27:K27" si="26">SUM(J23:J26)</f>
        <v>-106990</v>
      </c>
      <c r="K27" s="327">
        <f t="shared" si="26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2557388.9999999995</v>
      </c>
      <c r="D28" s="94">
        <f>C28+D27</f>
        <v>2377398.9999999995</v>
      </c>
      <c r="E28" s="94">
        <f t="shared" ref="E28:K28" si="27">D28+E27</f>
        <v>2167408.9999999995</v>
      </c>
      <c r="F28" s="94">
        <f t="shared" si="27"/>
        <v>2067418.9999999995</v>
      </c>
      <c r="G28" s="94">
        <f t="shared" si="27"/>
        <v>1947428.9999999995</v>
      </c>
      <c r="H28" s="77">
        <f t="shared" si="27"/>
        <v>1877438.9999999995</v>
      </c>
      <c r="I28" s="77">
        <f t="shared" si="27"/>
        <v>1798448.9999999995</v>
      </c>
      <c r="J28" s="77">
        <f t="shared" si="27"/>
        <v>1691458.9999999995</v>
      </c>
      <c r="K28" s="77">
        <f t="shared" si="27"/>
        <v>1584468.9999999995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25.573889999999995</v>
      </c>
      <c r="D30" s="44">
        <f t="shared" ref="D30:G30" si="28">D28/D29/1000</f>
        <v>23.773989999999994</v>
      </c>
      <c r="E30" s="44">
        <f t="shared" si="28"/>
        <v>21.674089999999996</v>
      </c>
      <c r="F30" s="44">
        <f t="shared" si="28"/>
        <v>20.674189999999996</v>
      </c>
      <c r="G30" s="44">
        <f t="shared" si="28"/>
        <v>19.474289999999993</v>
      </c>
      <c r="H30" s="10">
        <f t="shared" ref="H30:I30" si="29">H28/H29/1000</f>
        <v>18.774389999999997</v>
      </c>
      <c r="I30" s="20">
        <f t="shared" si="29"/>
        <v>17.984489999999994</v>
      </c>
      <c r="J30" s="20">
        <f t="shared" ref="J30:K30" si="30">J28/J29/1000</f>
        <v>16.914589999999997</v>
      </c>
      <c r="K30" s="20">
        <f t="shared" si="30"/>
        <v>15.844689999999995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topLeftCell="A13" zoomScale="115" zoomScaleNormal="115" workbookViewId="0">
      <selection activeCell="L25" sqref="L25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ROUNDDOWN(+C6*0.001425*0.45,0)</f>
        <v>366</v>
      </c>
      <c r="D7" s="318">
        <f t="shared" ref="D7:L7" si="1">ROUNDDOWN(+D6*0.001425*0.45,0)</f>
        <v>183</v>
      </c>
      <c r="E7" s="318">
        <f t="shared" si="1"/>
        <v>366</v>
      </c>
      <c r="F7" s="318">
        <f t="shared" si="1"/>
        <v>182</v>
      </c>
      <c r="G7" s="318">
        <f t="shared" si="1"/>
        <v>182</v>
      </c>
      <c r="H7" s="318">
        <f t="shared" si="1"/>
        <v>364</v>
      </c>
      <c r="I7" s="318">
        <f t="shared" si="1"/>
        <v>367</v>
      </c>
      <c r="J7" s="318">
        <f t="shared" si="1"/>
        <v>373</v>
      </c>
      <c r="K7" s="318">
        <f t="shared" si="1"/>
        <v>373</v>
      </c>
      <c r="L7" s="318">
        <f t="shared" si="1"/>
        <v>562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</v>
      </c>
      <c r="D10" s="319">
        <f t="shared" ref="D10:L10" si="2">+D6+D7</f>
        <v>285782.99999999994</v>
      </c>
      <c r="E10" s="319">
        <f t="shared" si="2"/>
        <v>571366</v>
      </c>
      <c r="F10" s="319">
        <f t="shared" si="2"/>
        <v>285182</v>
      </c>
      <c r="G10" s="319">
        <f t="shared" si="2"/>
        <v>284782</v>
      </c>
      <c r="H10" s="319">
        <f t="shared" si="2"/>
        <v>568764.00000000012</v>
      </c>
      <c r="I10" s="319">
        <f t="shared" si="2"/>
        <v>573167</v>
      </c>
      <c r="J10" s="319">
        <f t="shared" si="2"/>
        <v>582573</v>
      </c>
      <c r="K10" s="319">
        <f t="shared" si="2"/>
        <v>582373</v>
      </c>
      <c r="L10" s="319">
        <f t="shared" si="2"/>
        <v>877761.99999999988</v>
      </c>
    </row>
    <row r="11" spans="1:12">
      <c r="A11" s="98" t="s">
        <v>19</v>
      </c>
      <c r="B11" s="99" t="s">
        <v>20</v>
      </c>
      <c r="C11" s="86">
        <f>+C10</f>
        <v>571766</v>
      </c>
      <c r="D11" s="86">
        <f>+C11+D10</f>
        <v>857549</v>
      </c>
      <c r="E11" s="86">
        <f t="shared" ref="E11:F11" si="3">+D11+E10</f>
        <v>1428915</v>
      </c>
      <c r="F11" s="86">
        <f t="shared" si="3"/>
        <v>1714097</v>
      </c>
      <c r="G11" s="86">
        <f t="shared" ref="G11" si="4">+F11+G10</f>
        <v>1998879</v>
      </c>
      <c r="H11" s="86">
        <f t="shared" ref="H11" si="5">+G11+H10</f>
        <v>2567643</v>
      </c>
      <c r="I11" s="86">
        <f t="shared" ref="I11" si="6">+H11+I10</f>
        <v>3140810</v>
      </c>
      <c r="J11" s="86">
        <f t="shared" ref="J11" si="7">+I11+J10</f>
        <v>3723383</v>
      </c>
      <c r="K11" s="86">
        <f t="shared" ref="K11" si="8">+J11+K10</f>
        <v>4305756</v>
      </c>
      <c r="L11" s="86">
        <f t="shared" ref="L11" si="9">+K11+L10</f>
        <v>5183518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0">+D12+E5</f>
        <v>50</v>
      </c>
      <c r="F12" s="19">
        <f t="shared" si="10"/>
        <v>60</v>
      </c>
      <c r="G12" s="19">
        <f t="shared" ref="G12" si="11">+F12+G5</f>
        <v>70</v>
      </c>
      <c r="H12" s="19">
        <f t="shared" ref="H12" si="12">+G12+H5</f>
        <v>90</v>
      </c>
      <c r="I12" s="19">
        <f t="shared" ref="I12" si="13">+H12+I5</f>
        <v>110</v>
      </c>
      <c r="J12" s="19">
        <f t="shared" ref="J12" si="14">+I12+J5</f>
        <v>130</v>
      </c>
      <c r="K12" s="19">
        <f t="shared" ref="K12" si="15">+J12+K5</f>
        <v>150</v>
      </c>
      <c r="L12" s="19">
        <f t="shared" ref="L12" si="16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</v>
      </c>
      <c r="D13" s="20">
        <f t="shared" ref="D13:F13" si="17">+D11/D12/1000</f>
        <v>28.584966666666666</v>
      </c>
      <c r="E13" s="20">
        <f t="shared" si="17"/>
        <v>28.578299999999999</v>
      </c>
      <c r="F13" s="20">
        <f t="shared" si="17"/>
        <v>28.568283333333333</v>
      </c>
      <c r="G13" s="20">
        <f t="shared" ref="G13:H13" si="18">+G11/G12/1000</f>
        <v>28.555414285714289</v>
      </c>
      <c r="H13" s="20">
        <f t="shared" si="18"/>
        <v>28.529366666666665</v>
      </c>
      <c r="I13" s="20">
        <f t="shared" ref="I13:L13" si="19">+I11/I12/1000</f>
        <v>28.552818181818179</v>
      </c>
      <c r="J13" s="20">
        <f t="shared" si="19"/>
        <v>28.641407692307695</v>
      </c>
      <c r="K13" s="20">
        <f t="shared" si="19"/>
        <v>28.70504</v>
      </c>
      <c r="L13" s="20">
        <f t="shared" si="19"/>
        <v>28.79732222222222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0">+D21*D22*1000</f>
        <v>893100</v>
      </c>
      <c r="E23" s="317">
        <f t="shared" si="20"/>
        <v>1489000</v>
      </c>
      <c r="F23" s="317">
        <f t="shared" si="20"/>
        <v>599800</v>
      </c>
      <c r="G23" s="317">
        <f t="shared" ref="G23:H23" si="21">+G21*G22*1000</f>
        <v>-124000</v>
      </c>
      <c r="H23" s="317">
        <f t="shared" si="21"/>
        <v>1471000</v>
      </c>
      <c r="I23" s="317">
        <f t="shared" ref="I23:J23" si="22">+I21*I22*1000</f>
        <v>1469000</v>
      </c>
      <c r="J23" s="317">
        <f t="shared" si="22"/>
        <v>-167500</v>
      </c>
      <c r="K23" s="317">
        <f t="shared" ref="K23:L23" si="23">+K21*K22*1000</f>
        <v>-172500</v>
      </c>
      <c r="L23" s="317">
        <f t="shared" si="23"/>
        <v>-170000</v>
      </c>
    </row>
    <row r="24" spans="1:12">
      <c r="A24" s="32" t="s">
        <v>11</v>
      </c>
      <c r="B24" s="61" t="s">
        <v>12</v>
      </c>
      <c r="C24" s="318">
        <f>ROUNDDOWN(+C23*0.001425*0.45,0)</f>
        <v>2257</v>
      </c>
      <c r="D24" s="318">
        <f t="shared" ref="D24:I24" si="24">ROUNDDOWN(+D23*0.001425*0.45,0)</f>
        <v>572</v>
      </c>
      <c r="E24" s="318">
        <f t="shared" si="24"/>
        <v>954</v>
      </c>
      <c r="F24" s="318">
        <f t="shared" si="24"/>
        <v>384</v>
      </c>
      <c r="G24" s="318">
        <v>10</v>
      </c>
      <c r="H24" s="318">
        <f t="shared" si="24"/>
        <v>943</v>
      </c>
      <c r="I24" s="318">
        <f t="shared" si="24"/>
        <v>941</v>
      </c>
      <c r="J24" s="14">
        <v>10</v>
      </c>
      <c r="K24" s="14">
        <v>10</v>
      </c>
      <c r="L24" s="14">
        <v>10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</v>
      </c>
      <c r="D27" s="319">
        <f t="shared" ref="D27:F27" si="25">+D23+D24</f>
        <v>893672</v>
      </c>
      <c r="E27" s="319">
        <f t="shared" si="25"/>
        <v>1489954</v>
      </c>
      <c r="F27" s="319">
        <f t="shared" si="25"/>
        <v>600184</v>
      </c>
      <c r="G27" s="319">
        <f t="shared" ref="G27:H27" si="26">+G23+G24</f>
        <v>-123990</v>
      </c>
      <c r="H27" s="319">
        <f t="shared" si="26"/>
        <v>1471943</v>
      </c>
      <c r="I27" s="319">
        <f t="shared" ref="I27:J27" si="27">+I23+I24</f>
        <v>1469941</v>
      </c>
      <c r="J27" s="319">
        <f t="shared" si="27"/>
        <v>-167490</v>
      </c>
      <c r="K27" s="319">
        <f t="shared" ref="K27:L27" si="28">+K23+K24</f>
        <v>-172490</v>
      </c>
      <c r="L27" s="319">
        <f t="shared" si="28"/>
        <v>-169990</v>
      </c>
    </row>
    <row r="28" spans="1:12">
      <c r="A28" s="75" t="s">
        <v>19</v>
      </c>
      <c r="B28" s="76" t="s">
        <v>20</v>
      </c>
      <c r="C28" s="86">
        <f>+C27+L11</f>
        <v>8706575</v>
      </c>
      <c r="D28" s="86">
        <f>D27+C28</f>
        <v>9600247</v>
      </c>
      <c r="E28" s="86">
        <f t="shared" ref="E28:L28" si="29">E27+D28</f>
        <v>11090201</v>
      </c>
      <c r="F28" s="86">
        <f t="shared" si="29"/>
        <v>11690385</v>
      </c>
      <c r="G28" s="288">
        <f t="shared" si="29"/>
        <v>11566395</v>
      </c>
      <c r="H28" s="289">
        <f t="shared" si="29"/>
        <v>13038338</v>
      </c>
      <c r="I28" s="289">
        <f t="shared" si="29"/>
        <v>14508279</v>
      </c>
      <c r="J28" s="289">
        <f t="shared" si="29"/>
        <v>14340789</v>
      </c>
      <c r="K28" s="289">
        <f t="shared" si="29"/>
        <v>14168299</v>
      </c>
      <c r="L28" s="289">
        <f t="shared" si="29"/>
        <v>13998309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0">+C28/C29/1000</f>
        <v>29.021916666666669</v>
      </c>
      <c r="D30" s="20">
        <f t="shared" si="30"/>
        <v>29.091657575757576</v>
      </c>
      <c r="E30" s="20">
        <f t="shared" si="30"/>
        <v>29.184739473684211</v>
      </c>
      <c r="F30" s="20">
        <f t="shared" si="30"/>
        <v>29.225962500000001</v>
      </c>
      <c r="G30" s="44">
        <f t="shared" ref="G30:H30" si="31">+G28/G29/1000</f>
        <v>28.9159875</v>
      </c>
      <c r="H30" s="10">
        <f t="shared" si="31"/>
        <v>28.974084444444443</v>
      </c>
      <c r="I30" s="20">
        <f t="shared" ref="I30:J30" si="32">+I28/I29/1000</f>
        <v>29.016558</v>
      </c>
      <c r="J30" s="10">
        <f t="shared" si="32"/>
        <v>28.681578000000002</v>
      </c>
      <c r="K30" s="10">
        <f t="shared" ref="K30:L30" si="33">+K28/K29/1000</f>
        <v>28.336598000000002</v>
      </c>
      <c r="L30" s="20">
        <f t="shared" si="33"/>
        <v>27.996617999999998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4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5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6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7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元大高股息(OK)</vt:lpstr>
      <vt:lpstr>元大美債20(OK)</vt:lpstr>
      <vt:lpstr>統一(OK)</vt:lpstr>
      <vt:lpstr>台塑化(OK)</vt:lpstr>
      <vt:lpstr>達欣工(OK)</vt:lpstr>
      <vt:lpstr>台企銀</vt:lpstr>
      <vt:lpstr>玉山金</vt:lpstr>
      <vt:lpstr>台新金</vt:lpstr>
      <vt:lpstr>國眾</vt:lpstr>
      <vt:lpstr>致和證</vt:lpstr>
      <vt:lpstr>5706鳳凰(結案)</vt:lpstr>
      <vt:lpstr>9933中鼎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2024-12-23T04:17:55Z</dcterms:modified>
</cp:coreProperties>
</file>