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360" windowHeight="8160" activeTab="3"/>
  </bookViews>
  <sheets>
    <sheet name="Sheet1" sheetId="1" r:id="rId1"/>
    <sheet name="fit 1" sheetId="2" r:id="rId2"/>
    <sheet name="fit 2" sheetId="3" r:id="rId3"/>
    <sheet name="fit3" sheetId="4" r:id="rId4"/>
    <sheet name="Sheet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M30" i="4" l="1"/>
  <c r="M29" i="4"/>
  <c r="M28" i="4"/>
  <c r="M27" i="4"/>
  <c r="M26" i="4"/>
  <c r="K30" i="4"/>
  <c r="K29" i="4"/>
  <c r="K28" i="4"/>
  <c r="K27" i="4"/>
  <c r="K26" i="4"/>
  <c r="I26" i="4"/>
  <c r="I27" i="4"/>
  <c r="I28" i="4"/>
  <c r="I29" i="4"/>
  <c r="I30" i="4"/>
  <c r="I25" i="4"/>
  <c r="K25" i="4" s="1"/>
  <c r="M25" i="4" s="1"/>
  <c r="G26" i="4"/>
  <c r="G27" i="4"/>
  <c r="G28" i="4"/>
  <c r="G29" i="4"/>
  <c r="G30" i="4"/>
  <c r="E27" i="4" l="1"/>
  <c r="E25" i="4"/>
  <c r="D31" i="4" l="1"/>
  <c r="C31" i="4"/>
  <c r="F30" i="4"/>
  <c r="H30" i="4" s="1"/>
  <c r="J30" i="4" s="1"/>
  <c r="L30" i="4" s="1"/>
  <c r="B30" i="4"/>
  <c r="E30" i="4" s="1"/>
  <c r="F29" i="4"/>
  <c r="H29" i="4" s="1"/>
  <c r="J29" i="4" s="1"/>
  <c r="L29" i="4" s="1"/>
  <c r="B29" i="4"/>
  <c r="E29" i="4" s="1"/>
  <c r="F28" i="4"/>
  <c r="B28" i="4"/>
  <c r="E28" i="4" s="1"/>
  <c r="F27" i="4"/>
  <c r="F26" i="4"/>
  <c r="H26" i="4" s="1"/>
  <c r="J26" i="4" s="1"/>
  <c r="L26" i="4" s="1"/>
  <c r="B26" i="4"/>
  <c r="E26" i="4" s="1"/>
  <c r="F25" i="4"/>
  <c r="D11" i="4"/>
  <c r="C11" i="4"/>
  <c r="B10" i="4"/>
  <c r="B9" i="4"/>
  <c r="B8" i="4"/>
  <c r="B6" i="4"/>
  <c r="D31" i="3"/>
  <c r="C31" i="3"/>
  <c r="I30" i="3"/>
  <c r="H30" i="3"/>
  <c r="G30" i="3"/>
  <c r="F30" i="3"/>
  <c r="E30" i="3"/>
  <c r="B30" i="3"/>
  <c r="I29" i="3"/>
  <c r="H29" i="3"/>
  <c r="G29" i="3"/>
  <c r="F29" i="3"/>
  <c r="E29" i="3"/>
  <c r="B29" i="3"/>
  <c r="I28" i="3"/>
  <c r="H28" i="3"/>
  <c r="G28" i="3"/>
  <c r="F28" i="3"/>
  <c r="E28" i="3"/>
  <c r="B28" i="3"/>
  <c r="I27" i="3"/>
  <c r="H27" i="3"/>
  <c r="G27" i="3"/>
  <c r="F27" i="3"/>
  <c r="E27" i="3"/>
  <c r="I26" i="3"/>
  <c r="H26" i="3"/>
  <c r="G26" i="3"/>
  <c r="F26" i="3"/>
  <c r="E26" i="3"/>
  <c r="B26" i="3"/>
  <c r="I25" i="3"/>
  <c r="H25" i="3"/>
  <c r="G25" i="3"/>
  <c r="F25" i="3"/>
  <c r="E25" i="3"/>
  <c r="D11" i="3"/>
  <c r="C11" i="3"/>
  <c r="B10" i="3"/>
  <c r="B9" i="3"/>
  <c r="Q8" i="3"/>
  <c r="K8" i="3"/>
  <c r="B8" i="3"/>
  <c r="Q6" i="3"/>
  <c r="K6" i="3"/>
  <c r="B6" i="3"/>
  <c r="C8" i="2"/>
  <c r="E7" i="2"/>
  <c r="B7" i="2"/>
  <c r="E6" i="2"/>
  <c r="B6" i="2"/>
  <c r="E5" i="2"/>
  <c r="B5" i="2"/>
  <c r="E4" i="2"/>
  <c r="E3" i="2"/>
  <c r="B3" i="2"/>
  <c r="E2" i="2"/>
  <c r="X35" i="1"/>
  <c r="T35" i="1"/>
  <c r="X34" i="1"/>
  <c r="T34" i="1"/>
  <c r="P34" i="1"/>
  <c r="X33" i="1"/>
  <c r="T33" i="1"/>
  <c r="P33" i="1"/>
  <c r="X32" i="1"/>
  <c r="T32" i="1"/>
  <c r="P32" i="1"/>
  <c r="X31" i="1"/>
  <c r="T31" i="1"/>
  <c r="P31" i="1"/>
  <c r="L31" i="1"/>
  <c r="X30" i="1"/>
  <c r="T30" i="1"/>
  <c r="P30" i="1"/>
  <c r="L30" i="1"/>
  <c r="H30" i="1"/>
  <c r="D30" i="1"/>
  <c r="X29" i="1"/>
  <c r="T29" i="1"/>
  <c r="P29" i="1"/>
  <c r="L29" i="1"/>
  <c r="H29" i="1"/>
  <c r="D29" i="1"/>
  <c r="X28" i="1"/>
  <c r="T28" i="1"/>
  <c r="P28" i="1"/>
  <c r="L28" i="1"/>
  <c r="H28" i="1"/>
  <c r="D28" i="1"/>
  <c r="X27" i="1"/>
  <c r="T27" i="1"/>
  <c r="P27" i="1"/>
  <c r="L27" i="1"/>
  <c r="H27" i="1"/>
  <c r="D27" i="1"/>
  <c r="X26" i="1"/>
  <c r="T26" i="1"/>
  <c r="P26" i="1"/>
  <c r="L26" i="1"/>
  <c r="H26" i="1"/>
  <c r="D26" i="1"/>
  <c r="X25" i="1"/>
  <c r="T25" i="1"/>
  <c r="P25" i="1"/>
  <c r="L25" i="1"/>
  <c r="H25" i="1"/>
  <c r="D25" i="1"/>
  <c r="X24" i="1"/>
  <c r="T24" i="1"/>
  <c r="P24" i="1"/>
  <c r="L24" i="1"/>
  <c r="H24" i="1"/>
  <c r="D24" i="1"/>
  <c r="X23" i="1"/>
  <c r="T23" i="1"/>
  <c r="P23" i="1"/>
  <c r="L23" i="1"/>
  <c r="H23" i="1"/>
  <c r="D23" i="1"/>
  <c r="X22" i="1"/>
  <c r="T22" i="1"/>
  <c r="P22" i="1"/>
  <c r="L22" i="1"/>
  <c r="H22" i="1"/>
  <c r="D22" i="1"/>
  <c r="X21" i="1"/>
  <c r="T21" i="1"/>
  <c r="P21" i="1"/>
  <c r="L21" i="1"/>
  <c r="H21" i="1"/>
  <c r="D21" i="1"/>
  <c r="X20" i="1"/>
  <c r="T20" i="1"/>
  <c r="P20" i="1"/>
  <c r="L20" i="1"/>
  <c r="H20" i="1"/>
  <c r="D20" i="1"/>
  <c r="H27" i="4" l="1"/>
  <c r="J27" i="4" s="1"/>
  <c r="L27" i="4" s="1"/>
  <c r="H25" i="4"/>
  <c r="J25" i="4" s="1"/>
  <c r="L25" i="4" s="1"/>
  <c r="H28" i="4"/>
  <c r="J28" i="4" s="1"/>
  <c r="L28" i="4" s="1"/>
  <c r="N30" i="4"/>
  <c r="N26" i="4"/>
  <c r="N29" i="4"/>
  <c r="N27" i="4" l="1"/>
  <c r="N28" i="4"/>
  <c r="N25" i="4"/>
</calcChain>
</file>

<file path=xl/sharedStrings.xml><?xml version="1.0" encoding="utf-8"?>
<sst xmlns="http://schemas.openxmlformats.org/spreadsheetml/2006/main" count="218" uniqueCount="117">
  <si>
    <t>PE</t>
    <phoneticPr fontId="1"/>
  </si>
  <si>
    <t>0.5PP</t>
    <phoneticPr fontId="1"/>
  </si>
  <si>
    <t>PP</t>
    <phoneticPr fontId="1"/>
  </si>
  <si>
    <t>2PP</t>
    <phoneticPr fontId="1"/>
  </si>
  <si>
    <t>3PP</t>
    <phoneticPr fontId="1"/>
  </si>
  <si>
    <t>4PP</t>
    <phoneticPr fontId="1"/>
  </si>
  <si>
    <t>T</t>
    <phoneticPr fontId="1"/>
  </si>
  <si>
    <t>a</t>
    <phoneticPr fontId="1"/>
  </si>
  <si>
    <t>b</t>
    <phoneticPr fontId="1"/>
  </si>
  <si>
    <t>Coefficients (with 95% confidence bounds):</t>
  </si>
  <si>
    <t>General model:</t>
  </si>
  <si>
    <t>PE</t>
    <phoneticPr fontId="1"/>
  </si>
  <si>
    <t>average</t>
    <phoneticPr fontId="1"/>
  </si>
  <si>
    <t>PE</t>
    <phoneticPr fontId="1"/>
  </si>
  <si>
    <t>PP</t>
    <phoneticPr fontId="1"/>
  </si>
  <si>
    <t>2PP</t>
    <phoneticPr fontId="1"/>
  </si>
  <si>
    <t>0.5PP</t>
    <phoneticPr fontId="1"/>
  </si>
  <si>
    <t>3PP</t>
    <phoneticPr fontId="1"/>
  </si>
  <si>
    <t>4PP</t>
    <phoneticPr fontId="1"/>
  </si>
  <si>
    <t>dev/deq</t>
  </si>
  <si>
    <t>dratio</t>
  </si>
  <si>
    <t xml:space="preserve"> </t>
    <phoneticPr fontId="1"/>
  </si>
  <si>
    <t xml:space="preserve">       a =     -0.8612  (-0.9963, -0.7262)</t>
  </si>
  <si>
    <t xml:space="preserve">       b =       1.755  (1.525, 1.985)</t>
  </si>
  <si>
    <t xml:space="preserve">       a =     -0.8446  (-1.065, -0.6238)</t>
  </si>
  <si>
    <t xml:space="preserve">       b =        1.62  (1.261, 1.98)</t>
  </si>
  <si>
    <t xml:space="preserve">       a =     -0.7298  (-0.8104, -0.6492)</t>
  </si>
  <si>
    <t xml:space="preserve">       b =       1.353  (1.226, 1.48)</t>
  </si>
  <si>
    <t xml:space="preserve">       a =     -0.4994  (-0.8087, -0.19)</t>
  </si>
  <si>
    <t xml:space="preserve">       b =      0.8807  (0.4082, 1.353)</t>
  </si>
  <si>
    <t xml:space="preserve">       a =     -0.3577  (-0.728, 0.01262)</t>
  </si>
  <si>
    <t xml:space="preserve">       b =      0.5985  (0.04235, 1.155)</t>
  </si>
  <si>
    <t xml:space="preserve">       a =     -0.3568  (-0.8228, 0.1092)</t>
  </si>
  <si>
    <t xml:space="preserve">       b =      0.5402  (-0.1293, 1.21)</t>
  </si>
  <si>
    <t xml:space="preserve">     f(x) = a*x+b</t>
    <phoneticPr fontId="1"/>
  </si>
  <si>
    <t>c=b/a</t>
    <phoneticPr fontId="1"/>
  </si>
  <si>
    <t xml:space="preserve">       a =       1.629  (1.366, 1.892)</t>
  </si>
  <si>
    <t xml:space="preserve">       b =      0.3476  (0.0913, 0.604)</t>
  </si>
  <si>
    <t xml:space="preserve">       a =       1.429  (0.9832, 1.875)</t>
  </si>
  <si>
    <t xml:space="preserve">       b =       0.428  (0.02954, 0.8264)</t>
  </si>
  <si>
    <t xml:space="preserve">       a =       1.056  (0.8431, 1.269)</t>
  </si>
  <si>
    <t xml:space="preserve">       b =      0.6325  (0.4866, 0.7783)</t>
  </si>
  <si>
    <t xml:space="preserve">       a =       1.119  (1.029, 1.208)</t>
  </si>
  <si>
    <t xml:space="preserve">       a =      0.9928  (0.9078, 1.078)</t>
  </si>
  <si>
    <t xml:space="preserve">       a =       1.241  (1.169, 1.314)</t>
  </si>
  <si>
    <t xml:space="preserve">       a =       1.369  (1.345, 1.392)</t>
  </si>
  <si>
    <t xml:space="preserve">       a =       1.458  (1.42, 1.495)</t>
  </si>
  <si>
    <t xml:space="preserve">       a =       1.579  (1.556, 1.602)</t>
  </si>
  <si>
    <t>p</t>
    <phoneticPr fontId="1"/>
  </si>
  <si>
    <t>General model Exp1:</t>
  </si>
  <si>
    <t xml:space="preserve">     f(x) = a1*exp(a2*x)</t>
    <phoneticPr fontId="1"/>
  </si>
  <si>
    <t>Complete model:</t>
    <phoneticPr fontId="1"/>
  </si>
  <si>
    <t>a_pred</t>
    <phoneticPr fontId="1"/>
  </si>
  <si>
    <t xml:space="preserve">       a1 =       1.588  (1.519, 1.656)</t>
    <phoneticPr fontId="1"/>
  </si>
  <si>
    <t xml:space="preserve">       a2 =  -0.0005387  (-0.0007051, -0.0003723)</t>
    <phoneticPr fontId="1"/>
  </si>
  <si>
    <t xml:space="preserve">     f(x) = ( 1.588*exp(-0.0005387*T)^2-eta^2)/(2*eta)+0.4</t>
    <phoneticPr fontId="1"/>
  </si>
  <si>
    <t>dq/dp</t>
    <phoneticPr fontId="1"/>
  </si>
  <si>
    <t>p</t>
    <phoneticPr fontId="1"/>
  </si>
  <si>
    <t>E</t>
    <phoneticPr fontId="1"/>
  </si>
  <si>
    <t xml:space="preserve">     f(x) = (a^2-x^2)/(2*x)+b</t>
    <phoneticPr fontId="1"/>
  </si>
  <si>
    <t xml:space="preserve">       a =       0.647  (-0.1793, 1.473)</t>
  </si>
  <si>
    <t xml:space="preserve">       b =      0.7508  (0.3811, 1.12)</t>
  </si>
  <si>
    <t xml:space="preserve">       a =  -1.206e-05  (-Inf, Inf)</t>
  </si>
  <si>
    <t xml:space="preserve">       b =      0.8129  (0.7741, 0.8518)</t>
  </si>
  <si>
    <t xml:space="preserve">       a =  -3.749e-05  (-1.598e+04, 1.598e+04)</t>
  </si>
  <si>
    <t xml:space="preserve">       b =      0.7447  (0.3063, 1.183)</t>
  </si>
  <si>
    <t xml:space="preserve">     f(x) = (a^2-x^2)/(2*x)+0.4</t>
    <phoneticPr fontId="1"/>
  </si>
  <si>
    <t>T</t>
    <phoneticPr fontId="1"/>
  </si>
  <si>
    <t xml:space="preserve">     b = f(T) = a1*a^2+a2</t>
    <phoneticPr fontId="1"/>
  </si>
  <si>
    <t xml:space="preserve"> f(x) = a1*x^2+a2*x+a3</t>
  </si>
  <si>
    <t xml:space="preserve">       a1 =  -2.288e-06  (-1.418e-05, 9.606e-06)</t>
  </si>
  <si>
    <t xml:space="preserve">       a2 =    0.002187  (-0.004281, 0.008655)</t>
  </si>
  <si>
    <t xml:space="preserve">       a3 =      0.2314  (-0.3952, 0.858)</t>
  </si>
  <si>
    <t xml:space="preserve">       a1 =   3.499e-06  (-6.601e-06, 1.36e-05)</t>
  </si>
  <si>
    <t xml:space="preserve">       a2 =   -0.004198  (-0.009691, 0.001294)</t>
  </si>
  <si>
    <t xml:space="preserve">       a3 =       1.842  (1.31, 2.374)</t>
  </si>
  <si>
    <t>dev/deq_0</t>
    <phoneticPr fontId="1"/>
  </si>
  <si>
    <t>f(x) = ((9*(1-2*a)/(2*b*(1+a))-b)^2-b^2-x^2)/(2*x)+b</t>
    <phoneticPr fontId="1"/>
  </si>
  <si>
    <t>a:</t>
    <phoneticPr fontId="1"/>
  </si>
  <si>
    <t>b:</t>
    <phoneticPr fontId="1"/>
  </si>
  <si>
    <t>Poisson's ratio</t>
    <phoneticPr fontId="1"/>
  </si>
  <si>
    <t>Initial dilation ratio</t>
    <phoneticPr fontId="1"/>
  </si>
  <si>
    <t xml:space="preserve">       a =      0.3835  (0.3133, 0.4537)</t>
  </si>
  <si>
    <t xml:space="preserve">       b =      0.3764  (0.1401, 0.6128)</t>
  </si>
  <si>
    <t xml:space="preserve">       b =      0.5992  (0.5861, 0.6124)</t>
  </si>
  <si>
    <t xml:space="preserve">       a =      0.3184  (0.286, 0.3508)</t>
  </si>
  <si>
    <t xml:space="preserve">       b =      0.6652  (0.5427, 0.7877)</t>
  </si>
  <si>
    <t xml:space="preserve">       a =      0.2946  (0.2055, 0.3837)</t>
  </si>
  <si>
    <t xml:space="preserve">       b =       0.815  (0.461, 1.169)</t>
  </si>
  <si>
    <t xml:space="preserve">       a =      0.2801  (0.1908, 0.3695)</t>
  </si>
  <si>
    <t xml:space="preserve">       b =      0.9328  (0.5631, 1.303)</t>
  </si>
  <si>
    <t xml:space="preserve">       a =      0.3043  (0.2138, 0.3948)</t>
  </si>
  <si>
    <t xml:space="preserve">       b =        0.89  (0.4784, 1.302)</t>
  </si>
  <si>
    <t xml:space="preserve">       a =      0.3625  (0.2578, 0.4672)</t>
  </si>
  <si>
    <t xml:space="preserve">       b =      0.4732  (0.09753, 0.8488)</t>
  </si>
  <si>
    <t>f(x) = ((9*(1-2*0.33)/(2*b*(1+0.33))-b)^2-b^2-x^2)/(2*x)+b</t>
    <phoneticPr fontId="1"/>
  </si>
  <si>
    <t>Poisson's ratio = 0.33</t>
    <phoneticPr fontId="1"/>
  </si>
  <si>
    <t xml:space="preserve">       b =      0.6722  (0.6555, 0.6888)</t>
  </si>
  <si>
    <t xml:space="preserve">       b =      0.7229  (0.6983, 0.7474)</t>
  </si>
  <si>
    <t xml:space="preserve">       b =      0.7776  (0.7465, 0.8087)</t>
  </si>
  <si>
    <t>q/p</t>
    <phoneticPr fontId="1"/>
  </si>
  <si>
    <t>Mc^2</t>
    <phoneticPr fontId="1"/>
  </si>
  <si>
    <t xml:space="preserve">       b =      0.5593  (0.5532, 0.5655)</t>
  </si>
  <si>
    <t xml:space="preserve">       b =        0.63  (0.622, 0.638)</t>
  </si>
  <si>
    <t>b_pred</t>
    <phoneticPr fontId="1"/>
  </si>
  <si>
    <t>E_pred</t>
    <phoneticPr fontId="1"/>
  </si>
  <si>
    <t>Goodness of fit:</t>
  </si>
  <si>
    <t xml:space="preserve">  SSE: 0.001844</t>
  </si>
  <si>
    <t xml:space="preserve">  R-square: 0.9801</t>
  </si>
  <si>
    <t xml:space="preserve">  Adjusted R-square: 0.9751</t>
  </si>
  <si>
    <t xml:space="preserve">  RMSE: 0.02147</t>
  </si>
  <si>
    <t xml:space="preserve">     b = f(T) = a1*T^a2+0.5483</t>
    <phoneticPr fontId="1"/>
  </si>
  <si>
    <t xml:space="preserve">       a1 =    0.001449  (0.0003045, 0.002593)</t>
    <phoneticPr fontId="1"/>
  </si>
  <si>
    <t xml:space="preserve">       a2 =      0.7384  (0.6004, 0.8764)</t>
    <phoneticPr fontId="1"/>
  </si>
  <si>
    <t>Mc^2_pred</t>
    <phoneticPr fontId="1"/>
  </si>
  <si>
    <t>q/p_pred</t>
    <phoneticPr fontId="1"/>
  </si>
  <si>
    <t>p_pred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</si>
</sst>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Sheet1!$A$21:$A$35</c:f>
              <c:numCache>
                <c:formatCode>General</c:formatCode>
                <c:ptCount val="15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xVal>
          <c:yVal>
            <c:numRef>
              <c:f>Sheet1!$C$21:$C$35</c:f>
              <c:numCache>
                <c:formatCode>General</c:formatCode>
                <c:ptCount val="15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Sheet1!$I$20:$I$35</c:f>
              <c:numCache>
                <c:formatCode>General</c:formatCode>
                <c:ptCount val="16"/>
                <c:pt idx="0">
                  <c:v>-4.0531986387658183E-4</c:v>
                </c:pt>
                <c:pt idx="1">
                  <c:v>0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xVal>
          <c:yVal>
            <c:numRef>
              <c:f>Sheet1!$K$20:$K$35</c:f>
              <c:numCache>
                <c:formatCode>General</c:formatCode>
                <c:ptCount val="16"/>
                <c:pt idx="0">
                  <c:v>1.8644455466584113</c:v>
                </c:pt>
                <c:pt idx="1">
                  <c:v>1.8260000000000001</c:v>
                </c:pt>
                <c:pt idx="2">
                  <c:v>1.6909538739917969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Sheet1!$M$18</c:f>
              <c:strCache>
                <c:ptCount val="1"/>
                <c:pt idx="0">
                  <c:v>2PP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Sheet1!$M$20:$M$35</c:f>
              <c:numCache>
                <c:formatCode>General</c:formatCode>
                <c:ptCount val="16"/>
                <c:pt idx="0">
                  <c:v>-3.8840265538659671E-2</c:v>
                </c:pt>
                <c:pt idx="1">
                  <c:v>0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xVal>
          <c:yVal>
            <c:numRef>
              <c:f>Sheet1!$O$20:$O$35</c:f>
              <c:numCache>
                <c:formatCode>General</c:formatCode>
                <c:ptCount val="16"/>
                <c:pt idx="0">
                  <c:v>1.8333349150238609</c:v>
                </c:pt>
                <c:pt idx="1">
                  <c:v>1.7419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Sheet1!$E$18</c:f>
              <c:strCache>
                <c:ptCount val="1"/>
                <c:pt idx="0">
                  <c:v>0.5PP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Sheet1!$E$20:$E$35</c:f>
              <c:numCache>
                <c:formatCode>General</c:formatCode>
                <c:ptCount val="16"/>
                <c:pt idx="0">
                  <c:v>-6.6635216254626135E-3</c:v>
                </c:pt>
                <c:pt idx="1">
                  <c:v>0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xVal>
          <c:yVal>
            <c:numRef>
              <c:f>Sheet1!$G$20:$G$35</c:f>
              <c:numCache>
                <c:formatCode>General</c:formatCode>
                <c:ptCount val="16"/>
                <c:pt idx="0">
                  <c:v>1.9053060830494941</c:v>
                </c:pt>
                <c:pt idx="1">
                  <c:v>1.9198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Sheet1!$U$18</c:f>
              <c:strCache>
                <c:ptCount val="1"/>
                <c:pt idx="0">
                  <c:v>4PP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Sheet1!$U$21:$U$35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xVal>
          <c:yVal>
            <c:numRef>
              <c:f>Sheet1!$W$21:$W$35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Sheet1!$Q$18</c:f>
              <c:strCache>
                <c:ptCount val="1"/>
                <c:pt idx="0">
                  <c:v>3PP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Sheet1!$Q$20:$Q$35</c:f>
              <c:numCache>
                <c:formatCode>General</c:formatCode>
                <c:ptCount val="16"/>
                <c:pt idx="0">
                  <c:v>-3.9955102764971506E-3</c:v>
                </c:pt>
                <c:pt idx="1">
                  <c:v>0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xVal>
          <c:yVal>
            <c:numRef>
              <c:f>Sheet1!$S$20:$S$35</c:f>
              <c:numCache>
                <c:formatCode>General</c:formatCode>
                <c:ptCount val="16"/>
                <c:pt idx="0">
                  <c:v>1.8160383272446403</c:v>
                </c:pt>
                <c:pt idx="1">
                  <c:v>1.6866000000000001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66160"/>
        <c:axId val="269866720"/>
      </c:scatterChart>
      <c:valAx>
        <c:axId val="2698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866720"/>
        <c:crosses val="autoZero"/>
        <c:crossBetween val="midCat"/>
      </c:valAx>
      <c:valAx>
        <c:axId val="26986672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8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355807086614173E-2"/>
          <c:y val="0.10431314294268638"/>
          <c:w val="0.83536554024496934"/>
          <c:h val="0.86475009317568652"/>
        </c:manualLayout>
      </c:layout>
      <c:scatterChart>
        <c:scatterStyle val="lineMarker"/>
        <c:varyColors val="0"/>
        <c:ser>
          <c:idx val="0"/>
          <c:order val="0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Sheet1!$U$21:$U$35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yVal>
          <c:smooth val="0"/>
        </c:ser>
        <c:ser>
          <c:idx val="1"/>
          <c:order val="1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Sheet1!$Q$20:$Q$35</c:f>
              <c:numCache>
                <c:formatCode>General</c:formatCode>
                <c:ptCount val="16"/>
                <c:pt idx="0">
                  <c:v>-3.9955102764971506E-3</c:v>
                </c:pt>
                <c:pt idx="1">
                  <c:v>0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yVal>
          <c:smooth val="0"/>
        </c:ser>
        <c:ser>
          <c:idx val="2"/>
          <c:order val="2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Sheet1!$M$20:$M$34</c:f>
              <c:numCache>
                <c:formatCode>General</c:formatCode>
                <c:ptCount val="15"/>
                <c:pt idx="0">
                  <c:v>-3.8840265538659671E-2</c:v>
                </c:pt>
                <c:pt idx="1">
                  <c:v>0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yVal>
          <c:smooth val="0"/>
        </c:ser>
        <c:ser>
          <c:idx val="3"/>
          <c:order val="3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Sheet1!$I$20:$I$31</c:f>
              <c:numCache>
                <c:formatCode>General</c:formatCode>
                <c:ptCount val="12"/>
                <c:pt idx="0">
                  <c:v>-4.0531986387658183E-4</c:v>
                </c:pt>
                <c:pt idx="1">
                  <c:v>0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yVal>
          <c:smooth val="0"/>
        </c:ser>
        <c:ser>
          <c:idx val="4"/>
          <c:order val="4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Sheet1!$E$20:$E$30</c:f>
              <c:numCache>
                <c:formatCode>General</c:formatCode>
                <c:ptCount val="11"/>
                <c:pt idx="0">
                  <c:v>-6.6635216254626135E-3</c:v>
                </c:pt>
                <c:pt idx="1">
                  <c:v>0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yVal>
          <c:smooth val="0"/>
        </c:ser>
        <c:ser>
          <c:idx val="5"/>
          <c:order val="5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Sheet1!$A$21:$A$30</c:f>
              <c:numCache>
                <c:formatCode>General</c:formatCode>
                <c:ptCount val="10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96080"/>
        <c:axId val="270096640"/>
      </c:scatterChart>
      <c:valAx>
        <c:axId val="2700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096640"/>
        <c:crosses val="autoZero"/>
        <c:crossBetween val="midCat"/>
      </c:valAx>
      <c:valAx>
        <c:axId val="2700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09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'fit 1'!$C$1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006257081205414E-2"/>
                  <c:y val="0.10470932185537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1'!$C$2:$C$7</c:f>
              <c:numCache>
                <c:formatCode>General</c:formatCode>
                <c:ptCount val="6"/>
                <c:pt idx="0">
                  <c:v>-0.86119999999999997</c:v>
                </c:pt>
                <c:pt idx="1">
                  <c:v>-0.84660000000000002</c:v>
                </c:pt>
                <c:pt idx="2">
                  <c:v>-0.7298</c:v>
                </c:pt>
                <c:pt idx="3">
                  <c:v>-0.49940000000000001</c:v>
                </c:pt>
                <c:pt idx="4">
                  <c:v>-0.36459999999999998</c:v>
                </c:pt>
                <c:pt idx="5">
                  <c:v>-0.35680000000000001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'fit 1'!$E$1</c:f>
              <c:strCache>
                <c:ptCount val="1"/>
                <c:pt idx="0">
                  <c:v>c=b/a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1'!$E$2:$E$7</c:f>
              <c:numCache>
                <c:formatCode>General</c:formatCode>
                <c:ptCount val="6"/>
                <c:pt idx="0">
                  <c:v>-2.037854156990246</c:v>
                </c:pt>
                <c:pt idx="1">
                  <c:v>-1.9135364989369243</c:v>
                </c:pt>
                <c:pt idx="2">
                  <c:v>-1.8539325842696628</c:v>
                </c:pt>
                <c:pt idx="3">
                  <c:v>-1.763516219463356</c:v>
                </c:pt>
                <c:pt idx="4">
                  <c:v>-1.6777290181020297</c:v>
                </c:pt>
                <c:pt idx="5">
                  <c:v>-1.5140134529147982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'fit 1'!$D$1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989563940082327E-3"/>
                  <c:y val="-0.11445552765774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1'!$D$2:$D$7</c:f>
              <c:numCache>
                <c:formatCode>General</c:formatCode>
                <c:ptCount val="6"/>
                <c:pt idx="0">
                  <c:v>1.7549999999999999</c:v>
                </c:pt>
                <c:pt idx="1">
                  <c:v>1.62</c:v>
                </c:pt>
                <c:pt idx="2">
                  <c:v>1.353</c:v>
                </c:pt>
                <c:pt idx="3">
                  <c:v>0.88070000000000004</c:v>
                </c:pt>
                <c:pt idx="4">
                  <c:v>0.61170000000000002</c:v>
                </c:pt>
                <c:pt idx="5">
                  <c:v>0.54020000000000001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01120"/>
        <c:axId val="270101680"/>
      </c:scatterChart>
      <c:valAx>
        <c:axId val="2701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101680"/>
        <c:crosses val="autoZero"/>
        <c:crossBetween val="midCat"/>
      </c:valAx>
      <c:valAx>
        <c:axId val="2701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10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2'!$C$5:$C$10</c:f>
              <c:numCache>
                <c:formatCode>General</c:formatCode>
                <c:ptCount val="6"/>
                <c:pt idx="0">
                  <c:v>1.629</c:v>
                </c:pt>
                <c:pt idx="1">
                  <c:v>1.429</c:v>
                </c:pt>
                <c:pt idx="2">
                  <c:v>1.056</c:v>
                </c:pt>
                <c:pt idx="3">
                  <c:v>0.64700000000000002</c:v>
                </c:pt>
                <c:pt idx="4" formatCode="0.00E+00">
                  <c:v>-1.206E-5</c:v>
                </c:pt>
                <c:pt idx="5" formatCode="0.00E+00">
                  <c:v>-3.7490000000000002E-5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2'!$D$5:$D$10</c:f>
              <c:numCache>
                <c:formatCode>General</c:formatCode>
                <c:ptCount val="6"/>
                <c:pt idx="0">
                  <c:v>0.34760000000000002</c:v>
                </c:pt>
                <c:pt idx="1">
                  <c:v>0.42799999999999999</c:v>
                </c:pt>
                <c:pt idx="2">
                  <c:v>0.63249999999999995</c:v>
                </c:pt>
                <c:pt idx="3">
                  <c:v>0.75080000000000002</c:v>
                </c:pt>
                <c:pt idx="4">
                  <c:v>0.81289999999999996</c:v>
                </c:pt>
                <c:pt idx="5">
                  <c:v>0.74470000000000003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2960"/>
        <c:axId val="179123520"/>
      </c:scatterChart>
      <c:valAx>
        <c:axId val="1791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23520"/>
        <c:crosses val="autoZero"/>
        <c:crossBetween val="midCat"/>
      </c:valAx>
      <c:valAx>
        <c:axId val="1791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2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2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7440"/>
        <c:axId val="179128000"/>
      </c:scatterChart>
      <c:scatterChart>
        <c:scatterStyle val="lineMarker"/>
        <c:varyColors val="0"/>
        <c:ser>
          <c:idx val="3"/>
          <c:order val="0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2'!$D$25:$D$30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7440"/>
        <c:axId val="179128000"/>
      </c:scatterChart>
      <c:valAx>
        <c:axId val="179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28000"/>
        <c:crosses val="autoZero"/>
        <c:crossBetween val="midCat"/>
      </c:valAx>
      <c:valAx>
        <c:axId val="179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'fit3'!$C$5:$C$10</c:f>
              <c:numCache>
                <c:formatCode>General</c:formatCode>
                <c:ptCount val="6"/>
                <c:pt idx="0">
                  <c:v>0.38350000000000001</c:v>
                </c:pt>
                <c:pt idx="1">
                  <c:v>0.36249999999999999</c:v>
                </c:pt>
                <c:pt idx="2">
                  <c:v>0.31840000000000002</c:v>
                </c:pt>
                <c:pt idx="3">
                  <c:v>0.29459999999999997</c:v>
                </c:pt>
                <c:pt idx="4">
                  <c:v>0.28010000000000002</c:v>
                </c:pt>
                <c:pt idx="5">
                  <c:v>0.30430000000000001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'fit3'!$D$5:$D$10</c:f>
              <c:numCache>
                <c:formatCode>General</c:formatCode>
                <c:ptCount val="6"/>
                <c:pt idx="0">
                  <c:v>0.37640000000000001</c:v>
                </c:pt>
                <c:pt idx="1">
                  <c:v>0.47320000000000001</c:v>
                </c:pt>
                <c:pt idx="2">
                  <c:v>0.66520000000000001</c:v>
                </c:pt>
                <c:pt idx="3">
                  <c:v>0.81499999999999995</c:v>
                </c:pt>
                <c:pt idx="4">
                  <c:v>0.93279999999999996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0768"/>
        <c:axId val="270611328"/>
      </c:scatterChart>
      <c:valAx>
        <c:axId val="2706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11328"/>
        <c:crosses val="autoZero"/>
        <c:crossBetween val="midCat"/>
      </c:valAx>
      <c:valAx>
        <c:axId val="270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'fit3'!$C$25:$C$30</c:f>
              <c:numCache>
                <c:formatCode>General</c:formatCode>
                <c:ptCount val="6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'fit3'!$B$25:$B$30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'fit3'!$D$25:$D$30</c:f>
              <c:numCache>
                <c:formatCode>General</c:formatCode>
                <c:ptCount val="6"/>
                <c:pt idx="0">
                  <c:v>0.5655</c:v>
                </c:pt>
                <c:pt idx="1">
                  <c:v>0.59919999999999995</c:v>
                </c:pt>
                <c:pt idx="2">
                  <c:v>0.63</c:v>
                </c:pt>
                <c:pt idx="3">
                  <c:v>0.67220000000000002</c:v>
                </c:pt>
                <c:pt idx="4">
                  <c:v>0.72289999999999999</c:v>
                </c:pt>
                <c:pt idx="5">
                  <c:v>0.77759999999999996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4688"/>
        <c:axId val="270615248"/>
      </c:scatterChart>
      <c:valAx>
        <c:axId val="2706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15248"/>
        <c:crosses val="autoZero"/>
        <c:crossBetween val="midCat"/>
      </c:valAx>
      <c:valAx>
        <c:axId val="270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587829</xdr:colOff>
      <xdr:row>17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174170</xdr:rowOff>
    </xdr:from>
    <xdr:to>
      <xdr:col>15</xdr:col>
      <xdr:colOff>598714</xdr:colOff>
      <xdr:row>61</xdr:row>
      <xdr:rowOff>28186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464820</xdr:colOff>
      <xdr:row>12</xdr:row>
      <xdr:rowOff>4572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15240</xdr:colOff>
      <xdr:row>10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152400</xdr:colOff>
      <xdr:row>30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</xdr:rowOff>
    </xdr:from>
    <xdr:to>
      <xdr:col>9</xdr:col>
      <xdr:colOff>205740</xdr:colOff>
      <xdr:row>12</xdr:row>
      <xdr:rowOff>9144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601980</xdr:colOff>
      <xdr:row>51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X41"/>
  <sheetViews>
    <sheetView topLeftCell="D10" zoomScale="70" zoomScaleNormal="70" workbookViewId="0">
      <selection activeCell="R22" sqref="R22"/>
    </sheetView>
  </sheetViews>
  <sheetFormatPr defaultRowHeight="13.8"/>
  <cols>
    <col min="1" max="16384" width="8.88671875" style="1"/>
  </cols>
  <sheetData>
    <row r="18" spans="1:24">
      <c r="A18" s="1" t="s">
        <v>13</v>
      </c>
      <c r="E18" s="1" t="s">
        <v>16</v>
      </c>
      <c r="I18" s="1" t="s">
        <v>14</v>
      </c>
      <c r="M18" s="1" t="s">
        <v>15</v>
      </c>
      <c r="Q18" s="1" t="s">
        <v>17</v>
      </c>
      <c r="U18" s="1" t="s">
        <v>18</v>
      </c>
    </row>
    <row r="19" spans="1:24">
      <c r="A19" s="1" t="s">
        <v>19</v>
      </c>
      <c r="B19" s="1" t="s">
        <v>48</v>
      </c>
      <c r="C19" s="1" t="s">
        <v>20</v>
      </c>
      <c r="E19" s="1" t="s">
        <v>19</v>
      </c>
      <c r="F19" s="1" t="s">
        <v>48</v>
      </c>
      <c r="G19" s="1" t="s">
        <v>20</v>
      </c>
      <c r="I19" s="1" t="s">
        <v>19</v>
      </c>
      <c r="J19" s="1" t="s">
        <v>48</v>
      </c>
      <c r="K19" s="1" t="s">
        <v>20</v>
      </c>
      <c r="M19" s="1" t="s">
        <v>19</v>
      </c>
      <c r="N19" s="1" t="s">
        <v>48</v>
      </c>
      <c r="O19" s="1" t="s">
        <v>20</v>
      </c>
      <c r="Q19" s="1" t="s">
        <v>19</v>
      </c>
      <c r="R19" s="1" t="s">
        <v>48</v>
      </c>
      <c r="S19" s="1" t="s">
        <v>20</v>
      </c>
      <c r="U19" s="1" t="s">
        <v>19</v>
      </c>
      <c r="V19" s="1" t="s">
        <v>48</v>
      </c>
      <c r="W19" s="1" t="s">
        <v>20</v>
      </c>
    </row>
    <row r="20" spans="1:24">
      <c r="A20" s="1">
        <v>0</v>
      </c>
      <c r="C20" s="1">
        <v>2.0135999999999998</v>
      </c>
      <c r="D20" s="1">
        <f>(1.579^2-C20^2)/(2*C20)+0.4</f>
        <v>1.2300367500993281E-2</v>
      </c>
      <c r="E20" s="1">
        <v>-6.6635216254626135E-3</v>
      </c>
      <c r="F20" s="1">
        <v>19947.490459600001</v>
      </c>
      <c r="G20" s="1">
        <v>1.9053060830494941</v>
      </c>
      <c r="H20" s="1">
        <f t="shared" ref="H20:H30" si="0">(1.458^2-G20^2)/(2*G20)+0.4</f>
        <v>5.2006332500841301E-3</v>
      </c>
      <c r="I20" s="1">
        <v>-4.0531986387658183E-4</v>
      </c>
      <c r="J20" s="1">
        <v>28695.360281533332</v>
      </c>
      <c r="K20" s="1">
        <v>1.8644455466584113</v>
      </c>
      <c r="L20" s="1">
        <f t="shared" ref="L20:L31" si="1">(1.369^2-K20^2)/(2*K20)+0.4</f>
        <v>-2.9617319563339073E-2</v>
      </c>
      <c r="M20" s="1">
        <v>-3.8840265538659671E-2</v>
      </c>
      <c r="N20" s="1">
        <v>37703.912981300004</v>
      </c>
      <c r="O20" s="1">
        <v>1.8333349150238609</v>
      </c>
      <c r="P20" s="1">
        <f>(1.241^2-O20^2)/(2*O20)+0.4</f>
        <v>-9.6645728972506451E-2</v>
      </c>
      <c r="Q20" s="1">
        <v>-3.9955102764971506E-3</v>
      </c>
      <c r="R20" s="1">
        <v>43859.805339300001</v>
      </c>
      <c r="S20" s="1">
        <v>1.8160383272446403</v>
      </c>
      <c r="T20" s="1">
        <f t="shared" ref="T20:T35" si="2">(1.119^2-S20^2)/(2*S20)+0.4</f>
        <v>-0.16326845511171706</v>
      </c>
      <c r="U20" s="1">
        <v>0</v>
      </c>
      <c r="W20" s="1">
        <v>1.6501999999999999</v>
      </c>
      <c r="X20" s="1">
        <f>(0.9928^2-W20^2)/(2*W20)+0.4</f>
        <v>-0.12645382377893577</v>
      </c>
    </row>
    <row r="21" spans="1:24">
      <c r="A21" s="1">
        <v>6.0307752041131396E-2</v>
      </c>
      <c r="B21" s="1">
        <v>7369.2502595533333</v>
      </c>
      <c r="C21" s="1">
        <v>2.0090750205753558</v>
      </c>
      <c r="D21" s="1">
        <f>(1.579^2-C21^2)/(2*C21)+0.4</f>
        <v>1.5957238406671348E-2</v>
      </c>
      <c r="E21" s="1">
        <v>0</v>
      </c>
      <c r="G21" s="1">
        <v>1.9198</v>
      </c>
      <c r="H21" s="1">
        <f t="shared" si="0"/>
        <v>-6.2579539535368434E-3</v>
      </c>
      <c r="I21" s="1">
        <v>0</v>
      </c>
      <c r="K21" s="1">
        <v>1.8260000000000001</v>
      </c>
      <c r="L21" s="1">
        <f t="shared" si="1"/>
        <v>1.8756845564066316E-4</v>
      </c>
      <c r="M21" s="1">
        <v>0</v>
      </c>
      <c r="O21" s="1">
        <v>1.7419</v>
      </c>
      <c r="P21" s="1">
        <f t="shared" ref="P21:P34" si="3">(1.241^2-O21^2)/(2*O21)+0.4</f>
        <v>-2.8880707847752318E-2</v>
      </c>
      <c r="Q21" s="1">
        <v>0</v>
      </c>
      <c r="S21" s="1">
        <v>1.6866000000000001</v>
      </c>
      <c r="T21" s="1">
        <f t="shared" si="2"/>
        <v>-7.2091355389541145E-2</v>
      </c>
      <c r="U21" s="1">
        <v>-9.4772453627418207E-2</v>
      </c>
      <c r="V21" s="1">
        <v>140023.73074589999</v>
      </c>
      <c r="W21" s="1">
        <v>1.6235399819788612</v>
      </c>
      <c r="X21" s="1">
        <f t="shared" ref="X21:X35" si="4">(0.9928^2-W21^2)/(2*W21)+0.4</f>
        <v>-0.10821977019393381</v>
      </c>
    </row>
    <row r="22" spans="1:24">
      <c r="A22" s="1">
        <v>0.11056994181734359</v>
      </c>
      <c r="B22" s="1">
        <v>25328.292626999999</v>
      </c>
      <c r="C22" s="1">
        <v>1.8443558894483842</v>
      </c>
      <c r="D22" s="1">
        <f t="shared" ref="D22:D30" si="5">(1.579^2-C22^2)/(2*C22)+0.4</f>
        <v>0.15373309128136048</v>
      </c>
      <c r="E22" s="1">
        <v>0.15649101116211753</v>
      </c>
      <c r="F22" s="1">
        <v>51321.077509900002</v>
      </c>
      <c r="G22" s="1">
        <v>1.7404396115775711</v>
      </c>
      <c r="H22" s="1">
        <f t="shared" si="0"/>
        <v>0.14047762544043207</v>
      </c>
      <c r="I22" s="1">
        <v>0.11042313036631435</v>
      </c>
      <c r="J22" s="1">
        <v>77940.330432899995</v>
      </c>
      <c r="K22" s="1">
        <v>1.6909538739917969</v>
      </c>
      <c r="L22" s="1">
        <f t="shared" si="1"/>
        <v>0.10869577842410005</v>
      </c>
      <c r="M22" s="1">
        <v>8.3015005034965755E-2</v>
      </c>
      <c r="N22" s="1">
        <v>106787.34644183335</v>
      </c>
      <c r="O22" s="1">
        <v>1.6545991032687406</v>
      </c>
      <c r="P22" s="1">
        <f t="shared" si="3"/>
        <v>3.8094451347226832E-2</v>
      </c>
      <c r="Q22" s="1">
        <v>-3.9949657480682493E-2</v>
      </c>
      <c r="R22" s="1">
        <v>125791.86203140001</v>
      </c>
      <c r="S22" s="1">
        <v>1.6356216271168877</v>
      </c>
      <c r="T22" s="1">
        <f t="shared" si="2"/>
        <v>-3.5032492692393058E-2</v>
      </c>
      <c r="U22" s="1">
        <v>9.6052177612149778E-2</v>
      </c>
      <c r="V22" s="1">
        <v>272538.02467499999</v>
      </c>
      <c r="W22" s="1">
        <v>1.530953324207476</v>
      </c>
      <c r="X22" s="1">
        <f t="shared" si="4"/>
        <v>-4.3568794497702457E-2</v>
      </c>
    </row>
    <row r="23" spans="1:24">
      <c r="A23" s="1">
        <v>0.26922077481297862</v>
      </c>
      <c r="B23" s="1">
        <v>49400.543063766672</v>
      </c>
      <c r="C23" s="1">
        <v>1.7322564764106896</v>
      </c>
      <c r="D23" s="1">
        <f t="shared" si="5"/>
        <v>0.25352298952916003</v>
      </c>
      <c r="E23" s="1">
        <v>0.15661454046042708</v>
      </c>
      <c r="F23" s="1">
        <v>90638.674862666681</v>
      </c>
      <c r="G23" s="1">
        <v>1.6531141584289157</v>
      </c>
      <c r="H23" s="1">
        <f t="shared" si="0"/>
        <v>0.21640033215399845</v>
      </c>
      <c r="I23" s="1">
        <v>0.17910603464910388</v>
      </c>
      <c r="J23" s="1">
        <v>140008.51703866667</v>
      </c>
      <c r="K23" s="1">
        <v>1.6027555746450712</v>
      </c>
      <c r="L23" s="1">
        <f t="shared" si="1"/>
        <v>0.18329058933091369</v>
      </c>
      <c r="M23" s="1">
        <v>0.17449785739415904</v>
      </c>
      <c r="N23" s="1">
        <v>198464.7302633333</v>
      </c>
      <c r="O23" s="1">
        <v>1.5643844234460931</v>
      </c>
      <c r="P23" s="1">
        <f t="shared" si="3"/>
        <v>0.11004006089426965</v>
      </c>
      <c r="Q23" s="1">
        <v>8.989595444398725E-2</v>
      </c>
      <c r="R23" s="1">
        <v>240700.15517366666</v>
      </c>
      <c r="S23" s="1">
        <v>1.5440124208187311</v>
      </c>
      <c r="T23" s="1">
        <f t="shared" si="2"/>
        <v>3.3483079416433525E-2</v>
      </c>
      <c r="U23" s="1">
        <v>-0.11104356459174929</v>
      </c>
      <c r="V23" s="1">
        <v>439740.92971766664</v>
      </c>
      <c r="W23" s="1">
        <v>1.4707244592370008</v>
      </c>
      <c r="X23" s="1">
        <f t="shared" si="4"/>
        <v>-2.7164422382086606E-4</v>
      </c>
    </row>
    <row r="24" spans="1:24">
      <c r="A24" s="1">
        <v>0.23761623301763646</v>
      </c>
      <c r="B24" s="1">
        <v>76159.720779999989</v>
      </c>
      <c r="C24" s="1">
        <v>1.6671504107658244</v>
      </c>
      <c r="D24" s="1">
        <f t="shared" si="5"/>
        <v>0.31418006129836507</v>
      </c>
      <c r="E24" s="1">
        <v>0.35140776789751105</v>
      </c>
      <c r="F24" s="1">
        <v>135775.63518106667</v>
      </c>
      <c r="G24" s="1">
        <v>1.5974582636996595</v>
      </c>
      <c r="H24" s="1">
        <f t="shared" si="0"/>
        <v>0.2666290963760527</v>
      </c>
      <c r="I24" s="1">
        <v>0.22751655014093566</v>
      </c>
      <c r="J24" s="1">
        <v>213616.09823266664</v>
      </c>
      <c r="K24" s="1">
        <v>1.546856764002601</v>
      </c>
      <c r="L24" s="1">
        <f t="shared" si="1"/>
        <v>0.23236817383185765</v>
      </c>
      <c r="M24" s="1">
        <v>-9.9946116066272628E-3</v>
      </c>
      <c r="N24" s="1">
        <v>312549.49699266668</v>
      </c>
      <c r="O24" s="1">
        <v>1.5063561750312602</v>
      </c>
      <c r="P24" s="1">
        <f t="shared" si="3"/>
        <v>0.15801608605624787</v>
      </c>
      <c r="Q24" s="1">
        <v>-3.476872129632444E-2</v>
      </c>
      <c r="R24" s="1">
        <v>384207.03470800002</v>
      </c>
      <c r="S24" s="1">
        <v>1.4846589622644111</v>
      </c>
      <c r="T24" s="1">
        <f t="shared" si="2"/>
        <v>7.9370394673008549E-2</v>
      </c>
      <c r="U24" s="1">
        <v>9.9403977160791759E-2</v>
      </c>
      <c r="V24" s="1">
        <v>633283.23345866671</v>
      </c>
      <c r="W24" s="1">
        <v>1.4273635832401048</v>
      </c>
      <c r="X24" s="1">
        <f t="shared" si="4"/>
        <v>3.1588275366866869E-2</v>
      </c>
    </row>
    <row r="25" spans="1:24">
      <c r="A25" s="1">
        <v>0.3569969996478331</v>
      </c>
      <c r="B25" s="1">
        <v>104360.67064436666</v>
      </c>
      <c r="C25" s="1">
        <v>1.6235078267812537</v>
      </c>
      <c r="D25" s="1">
        <f t="shared" si="5"/>
        <v>0.35610225547770202</v>
      </c>
      <c r="E25" s="1">
        <v>0.26156800693692328</v>
      </c>
      <c r="F25" s="1">
        <v>182157.4419312333</v>
      </c>
      <c r="G25" s="1">
        <v>1.5583485062903495</v>
      </c>
      <c r="H25" s="1">
        <f t="shared" si="0"/>
        <v>0.30288242141101407</v>
      </c>
      <c r="I25" s="1">
        <v>0.24183756566398099</v>
      </c>
      <c r="J25" s="1">
        <v>294251.59353300004</v>
      </c>
      <c r="K25" s="1">
        <v>1.5065378630281099</v>
      </c>
      <c r="L25" s="1">
        <f t="shared" si="1"/>
        <v>0.26874032759376976</v>
      </c>
      <c r="M25" s="1">
        <v>0.21082556610103395</v>
      </c>
      <c r="N25" s="1">
        <v>441452.11121466663</v>
      </c>
      <c r="O25" s="1">
        <v>1.4641809111583908</v>
      </c>
      <c r="P25" s="1">
        <f t="shared" si="3"/>
        <v>0.19382850302188376</v>
      </c>
      <c r="Q25" s="1">
        <v>0.14933780525278545</v>
      </c>
      <c r="R25" s="1">
        <v>550081.61634333339</v>
      </c>
      <c r="S25" s="1">
        <v>1.4417039812757488</v>
      </c>
      <c r="T25" s="1">
        <f t="shared" si="2"/>
        <v>0.11341226064482507</v>
      </c>
      <c r="U25" s="1">
        <v>-4.4478596617946779E-2</v>
      </c>
      <c r="V25" s="1">
        <v>847290.0021876666</v>
      </c>
      <c r="W25" s="1">
        <v>1.3943094247322672</v>
      </c>
      <c r="X25" s="1">
        <f t="shared" si="4"/>
        <v>5.6300490086242883E-2</v>
      </c>
    </row>
    <row r="26" spans="1:24">
      <c r="A26" s="1">
        <v>0.37861265048389631</v>
      </c>
      <c r="B26" s="1">
        <v>134186.94364290001</v>
      </c>
      <c r="C26" s="1">
        <v>1.5909360061713129</v>
      </c>
      <c r="D26" s="1">
        <f t="shared" si="5"/>
        <v>0.388108768804792</v>
      </c>
      <c r="E26" s="1">
        <v>0.37353713969442559</v>
      </c>
      <c r="F26" s="1">
        <v>230725.84384566665</v>
      </c>
      <c r="G26" s="1">
        <v>1.5290331594502045</v>
      </c>
      <c r="H26" s="1">
        <f t="shared" si="0"/>
        <v>0.33061680795249476</v>
      </c>
      <c r="I26" s="1">
        <v>0.25667501498077061</v>
      </c>
      <c r="J26" s="1">
        <v>377657.08791199996</v>
      </c>
      <c r="K26" s="1">
        <v>1.4761673190222979</v>
      </c>
      <c r="L26" s="1">
        <f t="shared" si="1"/>
        <v>0.2967227665115133</v>
      </c>
      <c r="M26" s="1">
        <v>9.7943294740211004E-2</v>
      </c>
      <c r="N26" s="1">
        <v>579660.74060000002</v>
      </c>
      <c r="O26" s="1">
        <v>1.4322228418598042</v>
      </c>
      <c r="P26" s="1">
        <f t="shared" si="3"/>
        <v>0.22154269091212714</v>
      </c>
      <c r="Q26" s="1">
        <v>-5.5808908093809888E-2</v>
      </c>
      <c r="R26" s="1">
        <v>729663.24277466664</v>
      </c>
      <c r="S26" s="1">
        <v>1.4090597034444348</v>
      </c>
      <c r="T26" s="1">
        <f t="shared" si="2"/>
        <v>0.1397951818228847</v>
      </c>
      <c r="U26" s="1">
        <v>9.8676809350627046E-2</v>
      </c>
      <c r="V26" s="1">
        <v>1079249.2642293333</v>
      </c>
      <c r="W26" s="1">
        <v>1.367903658004811</v>
      </c>
      <c r="X26" s="1">
        <f t="shared" si="4"/>
        <v>7.6326409246348981E-2</v>
      </c>
    </row>
    <row r="27" spans="1:24">
      <c r="A27" s="1">
        <v>0.41690135743887979</v>
      </c>
      <c r="B27" s="1">
        <v>162015.33762943334</v>
      </c>
      <c r="C27" s="1">
        <v>1.5660912330976451</v>
      </c>
      <c r="D27" s="1">
        <f t="shared" si="5"/>
        <v>0.41296196822914144</v>
      </c>
      <c r="E27" s="1">
        <v>0.30169095029910487</v>
      </c>
      <c r="F27" s="1">
        <v>279898.81311533332</v>
      </c>
      <c r="G27" s="1">
        <v>1.5056348650184768</v>
      </c>
      <c r="H27" s="1">
        <f t="shared" si="0"/>
        <v>0.35311866441221301</v>
      </c>
      <c r="I27" s="1">
        <v>0.31602274764371441</v>
      </c>
      <c r="J27" s="1">
        <v>465406.69704500004</v>
      </c>
      <c r="K27" s="1">
        <v>1.4520598634137434</v>
      </c>
      <c r="L27" s="1">
        <f t="shared" si="1"/>
        <v>0.31931570700319878</v>
      </c>
      <c r="M27" s="1">
        <v>0.23930015390931891</v>
      </c>
      <c r="N27" s="1">
        <v>725093.87252199987</v>
      </c>
      <c r="O27" s="1">
        <v>1.406955906635972</v>
      </c>
      <c r="P27" s="1">
        <f t="shared" si="3"/>
        <v>0.24383166482148008</v>
      </c>
      <c r="Q27" s="1">
        <v>0.18074746754682885</v>
      </c>
      <c r="R27" s="1">
        <v>923395.66245333327</v>
      </c>
      <c r="S27" s="1">
        <v>1.3831153210120573</v>
      </c>
      <c r="T27" s="1">
        <f t="shared" si="2"/>
        <v>0.16110199157698246</v>
      </c>
      <c r="U27" s="1">
        <v>2.234104570380235E-2</v>
      </c>
      <c r="V27" s="1">
        <v>1321238.2197256668</v>
      </c>
      <c r="W27" s="1">
        <v>1.3462471260541777</v>
      </c>
      <c r="X27" s="1">
        <f t="shared" si="4"/>
        <v>9.2950325237737053E-2</v>
      </c>
    </row>
    <row r="28" spans="1:24">
      <c r="A28" s="1">
        <v>0.42337505205884429</v>
      </c>
      <c r="B28" s="1">
        <v>188604.79414103334</v>
      </c>
      <c r="C28" s="1">
        <v>1.5470482432552271</v>
      </c>
      <c r="D28" s="1">
        <f t="shared" si="5"/>
        <v>0.43228171244057234</v>
      </c>
      <c r="E28" s="1">
        <v>0.39144160029959618</v>
      </c>
      <c r="F28" s="1">
        <v>328777.82239633333</v>
      </c>
      <c r="G28" s="1">
        <v>1.4865801781327825</v>
      </c>
      <c r="H28" s="1">
        <f t="shared" si="0"/>
        <v>0.37169455531049772</v>
      </c>
      <c r="I28" s="1">
        <v>0.3001389802682104</v>
      </c>
      <c r="J28" s="1">
        <v>555121.68472466664</v>
      </c>
      <c r="K28" s="1">
        <v>1.4320845173354098</v>
      </c>
      <c r="L28" s="1">
        <f t="shared" si="1"/>
        <v>0.33830494546488871</v>
      </c>
      <c r="M28" s="1">
        <v>0.17471783095788221</v>
      </c>
      <c r="N28" s="1">
        <v>876017.18164433341</v>
      </c>
      <c r="O28" s="1">
        <v>1.3862244629844778</v>
      </c>
      <c r="P28" s="1">
        <f t="shared" si="3"/>
        <v>0.26238258234342104</v>
      </c>
      <c r="Q28" s="1">
        <v>9.2038022734601974E-2</v>
      </c>
      <c r="R28" s="1">
        <v>1123146.0568890001</v>
      </c>
      <c r="S28" s="1">
        <v>1.3618524601923803</v>
      </c>
      <c r="T28" s="1">
        <f t="shared" si="2"/>
        <v>0.17880088300940841</v>
      </c>
      <c r="U28" s="1">
        <v>5.1991074666765127E-2</v>
      </c>
      <c r="V28" s="1">
        <v>1571170.907324</v>
      </c>
      <c r="W28" s="1">
        <v>1.3281775970539018</v>
      </c>
      <c r="X28" s="1">
        <f t="shared" si="4"/>
        <v>0.10696543480235859</v>
      </c>
    </row>
    <row r="29" spans="1:24">
      <c r="A29" s="1">
        <v>0.42690582723184634</v>
      </c>
      <c r="B29" s="1">
        <v>213458.34164</v>
      </c>
      <c r="C29" s="1">
        <v>1.5317723436675272</v>
      </c>
      <c r="D29" s="1">
        <f t="shared" si="5"/>
        <v>0.44795571867537864</v>
      </c>
      <c r="E29" s="1">
        <v>0.38220477674581477</v>
      </c>
      <c r="F29" s="1">
        <v>375151.09649433335</v>
      </c>
      <c r="G29" s="1">
        <v>1.470995298159429</v>
      </c>
      <c r="H29" s="1">
        <f t="shared" si="0"/>
        <v>0.38706210439463212</v>
      </c>
      <c r="I29" s="1">
        <v>0.32649669915249868</v>
      </c>
      <c r="J29" s="1">
        <v>641753.99755099998</v>
      </c>
      <c r="K29" s="1">
        <v>1.4156299198831406</v>
      </c>
      <c r="L29" s="1">
        <f t="shared" si="1"/>
        <v>0.35413805958584654</v>
      </c>
      <c r="M29" s="1">
        <v>0.16241946842004298</v>
      </c>
      <c r="N29" s="1">
        <v>1028448.6459476665</v>
      </c>
      <c r="O29" s="1">
        <v>1.3688997705380646</v>
      </c>
      <c r="P29" s="1">
        <f t="shared" si="3"/>
        <v>0.27807522911339272</v>
      </c>
      <c r="Q29" s="1">
        <v>0.11216478621072597</v>
      </c>
      <c r="R29" s="1">
        <v>1325751.0573406667</v>
      </c>
      <c r="S29" s="1">
        <v>1.3442472387769562</v>
      </c>
      <c r="T29" s="1">
        <f t="shared" si="2"/>
        <v>0.19362440816159546</v>
      </c>
      <c r="U29" s="1">
        <v>0.13353088549501599</v>
      </c>
      <c r="V29" s="1">
        <v>1823574.0032919999</v>
      </c>
      <c r="W29" s="1">
        <v>1.3128555638706789</v>
      </c>
      <c r="X29" s="1">
        <f t="shared" si="4"/>
        <v>0.11895693940217489</v>
      </c>
    </row>
    <row r="30" spans="1:24">
      <c r="A30" s="1">
        <v>0.45764120663698477</v>
      </c>
      <c r="B30" s="1">
        <v>239369.36507900001</v>
      </c>
      <c r="C30" s="1">
        <v>1.518649905691144</v>
      </c>
      <c r="D30" s="1">
        <f t="shared" si="5"/>
        <v>0.46154922976115442</v>
      </c>
      <c r="E30" s="1">
        <v>0.32374408288279932</v>
      </c>
      <c r="F30" s="1">
        <v>417071.63527299999</v>
      </c>
      <c r="G30" s="1">
        <v>1.4584525263146098</v>
      </c>
      <c r="H30" s="1">
        <f t="shared" si="0"/>
        <v>0.39954754388996028</v>
      </c>
      <c r="I30" s="1">
        <v>0.29229076923535063</v>
      </c>
      <c r="J30" s="1">
        <v>725876.80681533332</v>
      </c>
      <c r="K30" s="1">
        <v>1.4020191233857742</v>
      </c>
      <c r="L30" s="1">
        <f t="shared" si="1"/>
        <v>0.36736969531540448</v>
      </c>
      <c r="M30" s="1">
        <v>0.21886177874595444</v>
      </c>
      <c r="N30" s="1">
        <v>1180226.3532186665</v>
      </c>
      <c r="O30" s="1">
        <v>1.3542817906462632</v>
      </c>
      <c r="P30" s="1">
        <f t="shared" si="3"/>
        <v>0.29145605792434348</v>
      </c>
      <c r="Q30" s="1">
        <v>0.20371055901816537</v>
      </c>
      <c r="R30" s="1">
        <v>1534206.2600356666</v>
      </c>
      <c r="S30" s="1">
        <v>1.329224375110359</v>
      </c>
      <c r="T30" s="1">
        <f t="shared" si="2"/>
        <v>0.2063997136131388</v>
      </c>
      <c r="U30" s="1">
        <v>7.4986159603482455E-2</v>
      </c>
      <c r="V30" s="1">
        <v>2080882.7730066665</v>
      </c>
      <c r="W30" s="1">
        <v>1.299624236942982</v>
      </c>
      <c r="X30" s="1">
        <f t="shared" si="4"/>
        <v>0.12939435213053557</v>
      </c>
    </row>
    <row r="31" spans="1:24">
      <c r="I31" s="1">
        <v>0.32525266710154627</v>
      </c>
      <c r="J31" s="1">
        <v>805640.87890000001</v>
      </c>
      <c r="K31" s="1">
        <v>1.3905741223861088</v>
      </c>
      <c r="L31" s="1">
        <f t="shared" si="1"/>
        <v>0.37859323394148209</v>
      </c>
      <c r="M31" s="1">
        <v>0.23540252112042928</v>
      </c>
      <c r="N31" s="1">
        <v>1330848.3509603334</v>
      </c>
      <c r="O31" s="1">
        <v>1.3417561426741769</v>
      </c>
      <c r="P31" s="1">
        <f t="shared" si="3"/>
        <v>0.30302688464491051</v>
      </c>
      <c r="Q31" s="1">
        <v>0.15285673371290717</v>
      </c>
      <c r="R31" s="1">
        <v>1742907.02988</v>
      </c>
      <c r="S31" s="1">
        <v>1.3161821183565607</v>
      </c>
      <c r="T31" s="1">
        <f t="shared" si="2"/>
        <v>0.21758817340523928</v>
      </c>
      <c r="U31" s="1">
        <v>8.9448643477896425E-2</v>
      </c>
      <c r="V31" s="1">
        <v>2341769.3260366665</v>
      </c>
      <c r="W31" s="1">
        <v>1.2879526989524848</v>
      </c>
      <c r="X31" s="1">
        <f t="shared" si="4"/>
        <v>0.13866652273546559</v>
      </c>
    </row>
    <row r="32" spans="1:24">
      <c r="M32" s="1">
        <v>0.2473260992016566</v>
      </c>
      <c r="N32" s="1">
        <v>1474401.9476263335</v>
      </c>
      <c r="O32" s="1">
        <v>1.3310353500514012</v>
      </c>
      <c r="P32" s="1">
        <f t="shared" si="3"/>
        <v>0.31300978479740871</v>
      </c>
      <c r="Q32" s="1">
        <v>0.14247620585683451</v>
      </c>
      <c r="R32" s="1">
        <v>1945440.1324166667</v>
      </c>
      <c r="S32" s="1">
        <v>1.3049630913246724</v>
      </c>
      <c r="T32" s="1">
        <f t="shared" si="2"/>
        <v>0.22728719581560372</v>
      </c>
      <c r="U32" s="1">
        <v>9.7083241975430057E-2</v>
      </c>
      <c r="V32" s="1">
        <v>2595675.0318933334</v>
      </c>
      <c r="W32" s="1">
        <v>1.2777264128670414</v>
      </c>
      <c r="X32" s="1">
        <f t="shared" si="4"/>
        <v>0.14684214882650465</v>
      </c>
    </row>
    <row r="33" spans="12:24">
      <c r="M33" s="1">
        <v>0.20153214418525628</v>
      </c>
      <c r="N33" s="1">
        <v>1613592.7783003331</v>
      </c>
      <c r="O33" s="1">
        <v>1.321816061075151</v>
      </c>
      <c r="P33" s="1">
        <f t="shared" si="3"/>
        <v>0.321654492854414</v>
      </c>
      <c r="Q33" s="1">
        <v>0.13157315381758203</v>
      </c>
      <c r="R33" s="1">
        <v>2148422.9221899998</v>
      </c>
      <c r="S33" s="1">
        <v>1.2951491902278758</v>
      </c>
      <c r="T33" s="1">
        <f t="shared" si="2"/>
        <v>0.2358295599624699</v>
      </c>
      <c r="U33" s="1">
        <v>8.4489915278758612E-2</v>
      </c>
      <c r="V33" s="1">
        <v>2846613.1900200001</v>
      </c>
      <c r="W33" s="1">
        <v>1.2687561598004613</v>
      </c>
      <c r="X33" s="1">
        <f t="shared" si="4"/>
        <v>0.15405425691499111</v>
      </c>
    </row>
    <row r="34" spans="12:24">
      <c r="M34" s="1">
        <v>0.31828476154180729</v>
      </c>
      <c r="N34" s="1">
        <v>1738391.8924673332</v>
      </c>
      <c r="O34" s="1">
        <v>1.3139888388488756</v>
      </c>
      <c r="P34" s="1">
        <f t="shared" si="3"/>
        <v>0.3290383361312309</v>
      </c>
      <c r="Q34" s="1">
        <v>0.19648098167197897</v>
      </c>
      <c r="R34" s="1">
        <v>2344706.9102633335</v>
      </c>
      <c r="S34" s="1">
        <v>1.2864551675378204</v>
      </c>
      <c r="T34" s="1">
        <f t="shared" si="2"/>
        <v>0.24344347620924014</v>
      </c>
      <c r="U34" s="1">
        <v>0.1538313279875651</v>
      </c>
      <c r="V34" s="1">
        <v>3093770.9270099998</v>
      </c>
      <c r="W34" s="1">
        <v>1.2607418217171571</v>
      </c>
      <c r="X34" s="1">
        <f t="shared" si="4"/>
        <v>0.1605306294177333</v>
      </c>
    </row>
    <row r="35" spans="12:24">
      <c r="Q35" s="1">
        <v>0.1985097410602287</v>
      </c>
      <c r="R35" s="1">
        <v>2533717.0905633331</v>
      </c>
      <c r="S35" s="1">
        <v>1.2788189027392434</v>
      </c>
      <c r="T35" s="1">
        <f t="shared" si="2"/>
        <v>0.25016768786325105</v>
      </c>
      <c r="U35" s="1">
        <v>0.11239256591151758</v>
      </c>
      <c r="V35" s="1">
        <v>3332502.3303733333</v>
      </c>
      <c r="W35" s="1">
        <v>1.2535900285927311</v>
      </c>
      <c r="X35" s="1">
        <f t="shared" si="4"/>
        <v>0.16633663860393874</v>
      </c>
    </row>
    <row r="41" spans="12:24">
      <c r="L41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85" zoomScaleNormal="85" workbookViewId="0">
      <selection activeCell="E25" sqref="E25"/>
    </sheetView>
  </sheetViews>
  <sheetFormatPr defaultRowHeight="13.2"/>
  <sheetData>
    <row r="1" spans="1:12" ht="13.8">
      <c r="A1" s="1"/>
      <c r="B1" s="1" t="s">
        <v>6</v>
      </c>
      <c r="C1" s="1" t="s">
        <v>7</v>
      </c>
      <c r="D1" s="1" t="s">
        <v>8</v>
      </c>
      <c r="E1" s="1" t="s">
        <v>35</v>
      </c>
      <c r="F1" s="1"/>
      <c r="G1" s="1"/>
      <c r="H1" s="1"/>
      <c r="I1" s="1"/>
      <c r="J1" s="1"/>
      <c r="K1" s="1"/>
      <c r="L1" s="1"/>
    </row>
    <row r="2" spans="1:12" ht="13.8">
      <c r="A2" s="1" t="s">
        <v>0</v>
      </c>
      <c r="B2" s="1">
        <v>53</v>
      </c>
      <c r="C2" s="1">
        <v>-0.86119999999999997</v>
      </c>
      <c r="D2" s="1">
        <v>1.7549999999999999</v>
      </c>
      <c r="E2" s="1">
        <f t="shared" ref="E2:E7" si="0">D2/C2</f>
        <v>-2.037854156990246</v>
      </c>
      <c r="F2" s="1"/>
      <c r="G2" s="1"/>
      <c r="H2" s="1"/>
      <c r="I2" s="1"/>
      <c r="J2" s="1"/>
      <c r="K2" s="1"/>
      <c r="L2" s="1"/>
    </row>
    <row r="3" spans="1:12" ht="13.8">
      <c r="A3" s="1" t="s">
        <v>1</v>
      </c>
      <c r="B3" s="1">
        <f>232/2</f>
        <v>116</v>
      </c>
      <c r="C3" s="1">
        <v>-0.84660000000000002</v>
      </c>
      <c r="D3" s="1">
        <v>1.62</v>
      </c>
      <c r="E3" s="1">
        <f t="shared" si="0"/>
        <v>-1.9135364989369243</v>
      </c>
      <c r="F3" s="1"/>
      <c r="G3" s="1"/>
      <c r="H3" s="1"/>
      <c r="I3" s="1"/>
      <c r="J3" s="1"/>
      <c r="K3" s="1"/>
      <c r="L3" s="1"/>
    </row>
    <row r="4" spans="1:12" ht="13.8">
      <c r="A4" s="1" t="s">
        <v>2</v>
      </c>
      <c r="B4" s="1">
        <v>232</v>
      </c>
      <c r="C4" s="1">
        <v>-0.7298</v>
      </c>
      <c r="D4" s="1">
        <v>1.353</v>
      </c>
      <c r="E4" s="1">
        <f t="shared" si="0"/>
        <v>-1.8539325842696628</v>
      </c>
      <c r="F4" s="1"/>
      <c r="G4" s="1"/>
      <c r="H4" s="1"/>
      <c r="I4" s="1"/>
      <c r="J4" s="1"/>
      <c r="K4" s="1"/>
      <c r="L4" s="1"/>
    </row>
    <row r="5" spans="1:12" ht="13.8">
      <c r="A5" s="1" t="s">
        <v>3</v>
      </c>
      <c r="B5" s="1">
        <f>B4*2</f>
        <v>464</v>
      </c>
      <c r="C5" s="1">
        <v>-0.49940000000000001</v>
      </c>
      <c r="D5" s="1">
        <v>0.88070000000000004</v>
      </c>
      <c r="E5" s="1">
        <f t="shared" si="0"/>
        <v>-1.763516219463356</v>
      </c>
      <c r="F5" s="1"/>
      <c r="G5" s="1"/>
      <c r="H5" s="1"/>
      <c r="I5" s="1"/>
      <c r="J5" s="1"/>
      <c r="K5" s="1"/>
      <c r="L5" s="1"/>
    </row>
    <row r="6" spans="1:12" ht="13.8">
      <c r="A6" s="1" t="s">
        <v>4</v>
      </c>
      <c r="B6" s="1">
        <f>B4*3</f>
        <v>696</v>
      </c>
      <c r="C6" s="1">
        <v>-0.36459999999999998</v>
      </c>
      <c r="D6" s="1">
        <v>0.61170000000000002</v>
      </c>
      <c r="E6" s="1">
        <f t="shared" si="0"/>
        <v>-1.6777290181020297</v>
      </c>
      <c r="F6" s="1"/>
      <c r="G6" s="1"/>
      <c r="H6" s="1"/>
      <c r="I6" s="1"/>
      <c r="J6" s="1"/>
      <c r="K6" s="1"/>
      <c r="L6" s="1"/>
    </row>
    <row r="7" spans="1:12" ht="13.8">
      <c r="A7" s="1" t="s">
        <v>5</v>
      </c>
      <c r="B7" s="1">
        <f>B4*4</f>
        <v>928</v>
      </c>
      <c r="C7" s="1">
        <v>-0.35680000000000001</v>
      </c>
      <c r="D7" s="1">
        <v>0.54020000000000001</v>
      </c>
      <c r="E7" s="1">
        <f t="shared" si="0"/>
        <v>-1.5140134529147982</v>
      </c>
      <c r="F7" s="1"/>
      <c r="G7" s="1"/>
      <c r="H7" s="1"/>
      <c r="I7" s="1"/>
      <c r="J7" s="1"/>
      <c r="K7" s="1"/>
      <c r="L7" s="1"/>
    </row>
    <row r="8" spans="1:12" ht="13.8">
      <c r="A8" s="1" t="s">
        <v>12</v>
      </c>
      <c r="B8" s="1"/>
      <c r="C8" s="1">
        <f>AVERAGE(C2:C7)</f>
        <v>-0.60973333333333324</v>
      </c>
      <c r="D8" s="1"/>
      <c r="E8" s="1"/>
      <c r="F8" s="1"/>
      <c r="G8" s="1"/>
      <c r="H8" s="1"/>
      <c r="I8" s="1"/>
      <c r="J8" s="1"/>
      <c r="K8" s="1"/>
      <c r="L8" s="1"/>
    </row>
    <row r="9" spans="1:1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3.8">
      <c r="A11" s="1" t="s">
        <v>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8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  <c r="K13" s="1"/>
      <c r="L13" s="1"/>
    </row>
    <row r="14" spans="1:12" ht="13.8">
      <c r="A14" s="1" t="s">
        <v>22</v>
      </c>
      <c r="B14" s="1"/>
      <c r="C14" s="1"/>
      <c r="D14" s="1"/>
      <c r="E14" s="1" t="s">
        <v>24</v>
      </c>
      <c r="F14" s="1"/>
      <c r="G14" s="1"/>
      <c r="H14" s="1"/>
      <c r="I14" s="1" t="s">
        <v>26</v>
      </c>
      <c r="J14" s="1"/>
      <c r="K14" s="1"/>
      <c r="L14" s="1"/>
    </row>
    <row r="15" spans="1:12" ht="13.8">
      <c r="A15" s="1" t="s">
        <v>23</v>
      </c>
      <c r="B15" s="1"/>
      <c r="C15" s="1"/>
      <c r="D15" s="1"/>
      <c r="E15" s="1" t="s">
        <v>25</v>
      </c>
      <c r="F15" s="1"/>
      <c r="G15" s="1"/>
      <c r="H15" s="1"/>
      <c r="I15" s="1" t="s">
        <v>27</v>
      </c>
      <c r="J15" s="1"/>
      <c r="K15" s="1"/>
      <c r="L15" s="1"/>
    </row>
    <row r="16" spans="1:1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  <c r="K17" s="1"/>
      <c r="L17" s="1"/>
    </row>
    <row r="18" spans="1:12" ht="13.8">
      <c r="A18" s="1" t="s">
        <v>28</v>
      </c>
      <c r="B18" s="1"/>
      <c r="C18" s="1"/>
      <c r="D18" s="1"/>
      <c r="E18" s="1" t="s">
        <v>30</v>
      </c>
      <c r="F18" s="1"/>
      <c r="G18" s="1"/>
      <c r="H18" s="1"/>
      <c r="I18" s="1" t="s">
        <v>32</v>
      </c>
      <c r="J18" s="1"/>
      <c r="K18" s="1"/>
      <c r="L18" s="1"/>
    </row>
    <row r="19" spans="1:12" ht="13.8">
      <c r="A19" s="1" t="s">
        <v>29</v>
      </c>
      <c r="B19" s="1"/>
      <c r="C19" s="1"/>
      <c r="D19" s="1"/>
      <c r="E19" s="1" t="s">
        <v>31</v>
      </c>
      <c r="F19" s="1"/>
      <c r="G19" s="1"/>
      <c r="H19" s="1"/>
      <c r="I19" s="1" t="s">
        <v>33</v>
      </c>
      <c r="J19" s="1"/>
      <c r="K19" s="1"/>
      <c r="L19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:M11"/>
    </sheetView>
  </sheetViews>
  <sheetFormatPr defaultRowHeight="13.8"/>
  <cols>
    <col min="1" max="2" width="8.88671875" style="1"/>
    <col min="3" max="3" width="9.6640625" style="1" bestFit="1" customWidth="1"/>
    <col min="4" max="7" width="8.88671875" style="1"/>
    <col min="8" max="8" width="13.109375" style="1" bestFit="1" customWidth="1"/>
    <col min="9" max="16384" width="8.88671875" style="1"/>
  </cols>
  <sheetData>
    <row r="1" spans="1:17">
      <c r="A1" s="1" t="s">
        <v>10</v>
      </c>
      <c r="K1" s="1" t="s">
        <v>10</v>
      </c>
      <c r="P1" s="1" t="s">
        <v>10</v>
      </c>
    </row>
    <row r="2" spans="1:17">
      <c r="A2" s="1" t="s">
        <v>59</v>
      </c>
      <c r="K2" s="1" t="s">
        <v>69</v>
      </c>
      <c r="P2" s="1" t="s">
        <v>68</v>
      </c>
    </row>
    <row r="4" spans="1:17">
      <c r="B4" s="1" t="s">
        <v>6</v>
      </c>
      <c r="C4" s="1" t="s">
        <v>7</v>
      </c>
      <c r="D4" s="1" t="s">
        <v>8</v>
      </c>
      <c r="K4" s="1" t="s">
        <v>7</v>
      </c>
      <c r="L4" s="1" t="s">
        <v>67</v>
      </c>
      <c r="P4" s="1" t="s">
        <v>8</v>
      </c>
      <c r="Q4" s="1" t="s">
        <v>6</v>
      </c>
    </row>
    <row r="5" spans="1:17">
      <c r="A5" s="1" t="s">
        <v>0</v>
      </c>
      <c r="B5" s="1">
        <v>53</v>
      </c>
      <c r="C5" s="1">
        <v>1.629</v>
      </c>
      <c r="D5" s="1">
        <v>0.34760000000000002</v>
      </c>
      <c r="K5" s="1">
        <v>53</v>
      </c>
      <c r="L5" s="1">
        <v>1.629</v>
      </c>
      <c r="P5" s="1">
        <v>0.34760000000000002</v>
      </c>
      <c r="Q5" s="1">
        <v>53</v>
      </c>
    </row>
    <row r="6" spans="1:17">
      <c r="A6" s="1" t="s">
        <v>1</v>
      </c>
      <c r="B6" s="1">
        <f>232/2</f>
        <v>116</v>
      </c>
      <c r="C6" s="1">
        <v>1.429</v>
      </c>
      <c r="D6" s="1">
        <v>0.42799999999999999</v>
      </c>
      <c r="K6" s="1">
        <f>232/2</f>
        <v>116</v>
      </c>
      <c r="L6" s="1">
        <v>1.429</v>
      </c>
      <c r="P6" s="1">
        <v>0.42799999999999999</v>
      </c>
      <c r="Q6" s="1">
        <f>232/2</f>
        <v>116</v>
      </c>
    </row>
    <row r="7" spans="1:17">
      <c r="A7" s="1" t="s">
        <v>2</v>
      </c>
      <c r="B7" s="1">
        <v>232</v>
      </c>
      <c r="C7" s="1">
        <v>1.056</v>
      </c>
      <c r="D7" s="1">
        <v>0.63249999999999995</v>
      </c>
      <c r="K7" s="1">
        <v>232</v>
      </c>
      <c r="L7" s="1">
        <v>1.056</v>
      </c>
      <c r="P7" s="1">
        <v>0.63249999999999995</v>
      </c>
      <c r="Q7" s="1">
        <v>232</v>
      </c>
    </row>
    <row r="8" spans="1:17">
      <c r="A8" s="1" t="s">
        <v>3</v>
      </c>
      <c r="B8" s="1">
        <f>B7*2</f>
        <v>464</v>
      </c>
      <c r="C8" s="1">
        <v>0.64700000000000002</v>
      </c>
      <c r="D8" s="1">
        <v>0.75080000000000002</v>
      </c>
      <c r="K8" s="1">
        <f>K7*2</f>
        <v>464</v>
      </c>
      <c r="L8" s="1">
        <v>0.64700000000000002</v>
      </c>
      <c r="P8" s="1">
        <v>0.75080000000000002</v>
      </c>
      <c r="Q8" s="1">
        <f>Q7*2</f>
        <v>464</v>
      </c>
    </row>
    <row r="9" spans="1:17">
      <c r="A9" s="1" t="s">
        <v>4</v>
      </c>
      <c r="B9" s="1">
        <f>B7*3</f>
        <v>696</v>
      </c>
      <c r="C9" s="2">
        <v>-1.206E-5</v>
      </c>
      <c r="D9" s="1">
        <v>0.81289999999999996</v>
      </c>
      <c r="K9" s="1" t="s">
        <v>70</v>
      </c>
      <c r="P9" s="1" t="s">
        <v>73</v>
      </c>
    </row>
    <row r="10" spans="1:17">
      <c r="A10" s="1" t="s">
        <v>5</v>
      </c>
      <c r="B10" s="1">
        <f>B7*4</f>
        <v>928</v>
      </c>
      <c r="C10" s="2">
        <v>-3.7490000000000002E-5</v>
      </c>
      <c r="D10" s="1">
        <v>0.74470000000000003</v>
      </c>
      <c r="K10" s="1" t="s">
        <v>71</v>
      </c>
      <c r="P10" s="1" t="s">
        <v>74</v>
      </c>
    </row>
    <row r="11" spans="1:17">
      <c r="A11" s="1" t="s">
        <v>12</v>
      </c>
      <c r="C11" s="1">
        <f>AVERAGE(C5:C10)</f>
        <v>0.79349174166666658</v>
      </c>
      <c r="D11" s="1">
        <f>AVERAGE(D5:D10)</f>
        <v>0.61941666666666662</v>
      </c>
      <c r="K11" s="1" t="s">
        <v>72</v>
      </c>
      <c r="P11" s="1" t="s">
        <v>75</v>
      </c>
    </row>
    <row r="13" spans="1:17">
      <c r="A13" s="1" t="s">
        <v>11</v>
      </c>
      <c r="E13" s="1" t="s">
        <v>1</v>
      </c>
      <c r="I13" s="1" t="s">
        <v>2</v>
      </c>
    </row>
    <row r="14" spans="1:17">
      <c r="A14" s="1" t="s">
        <v>36</v>
      </c>
      <c r="E14" s="1" t="s">
        <v>38</v>
      </c>
      <c r="I14" s="1" t="s">
        <v>40</v>
      </c>
    </row>
    <row r="15" spans="1:17">
      <c r="A15" s="1" t="s">
        <v>37</v>
      </c>
      <c r="E15" s="1" t="s">
        <v>39</v>
      </c>
      <c r="I15" s="1" t="s">
        <v>41</v>
      </c>
    </row>
    <row r="17" spans="1:9">
      <c r="A17" s="1" t="s">
        <v>3</v>
      </c>
      <c r="E17" s="1" t="s">
        <v>4</v>
      </c>
      <c r="I17" s="1" t="s">
        <v>5</v>
      </c>
    </row>
    <row r="18" spans="1:9">
      <c r="A18" s="1" t="s">
        <v>60</v>
      </c>
      <c r="E18" s="1" t="s">
        <v>62</v>
      </c>
      <c r="I18" s="1" t="s">
        <v>64</v>
      </c>
    </row>
    <row r="19" spans="1:9">
      <c r="A19" s="1" t="s">
        <v>61</v>
      </c>
      <c r="E19" s="1" t="s">
        <v>63</v>
      </c>
      <c r="I19" s="1" t="s">
        <v>65</v>
      </c>
    </row>
    <row r="21" spans="1:9">
      <c r="A21" s="1" t="s">
        <v>10</v>
      </c>
    </row>
    <row r="22" spans="1:9">
      <c r="A22" s="1" t="s">
        <v>66</v>
      </c>
    </row>
    <row r="24" spans="1:9">
      <c r="B24" s="1" t="s">
        <v>6</v>
      </c>
      <c r="C24" s="1" t="s">
        <v>7</v>
      </c>
      <c r="D24" s="1" t="s">
        <v>8</v>
      </c>
      <c r="E24" s="1" t="s">
        <v>52</v>
      </c>
      <c r="F24" s="1" t="s">
        <v>56</v>
      </c>
      <c r="G24" s="1" t="s">
        <v>57</v>
      </c>
      <c r="H24" s="1" t="s">
        <v>58</v>
      </c>
      <c r="I24" s="1" t="s">
        <v>76</v>
      </c>
    </row>
    <row r="25" spans="1:9">
      <c r="A25" s="1" t="s">
        <v>0</v>
      </c>
      <c r="B25" s="1">
        <v>53</v>
      </c>
      <c r="C25" s="1">
        <v>1.579</v>
      </c>
      <c r="D25" s="1">
        <v>0.4</v>
      </c>
      <c r="E25" s="1">
        <f t="shared" ref="E25:E30" si="0">1.588*EXP(-0.0005387*B25)</f>
        <v>1.5433019783579935</v>
      </c>
      <c r="F25" s="1">
        <f t="shared" ref="F25:F30" si="1">D25+SQRT(D25^2+C25^2)</f>
        <v>2.0288772206645902</v>
      </c>
      <c r="G25" s="1">
        <f t="shared" ref="G25:G30" si="2">(F25/(1.35*(1-0.0723))*3255000^(-0.0723))^(-1/0.0723)</f>
        <v>4118.1538698879385</v>
      </c>
      <c r="H25" s="1">
        <f t="shared" ref="H25:H30" si="3">3*(1-2*0.33)/(0.0762*0.2606*G25^(0.2606-1))</f>
        <v>24175.856485855711</v>
      </c>
      <c r="I25" s="1">
        <f>(9*(1-0.2*0.33))/(2*F25*(1+0.33))</f>
        <v>1.5575858133518266</v>
      </c>
    </row>
    <row r="26" spans="1:9">
      <c r="A26" s="1" t="s">
        <v>1</v>
      </c>
      <c r="B26" s="1">
        <f>232/2</f>
        <v>116</v>
      </c>
      <c r="C26" s="1">
        <v>1.458</v>
      </c>
      <c r="D26" s="1">
        <v>0.4</v>
      </c>
      <c r="E26" s="1">
        <f t="shared" si="0"/>
        <v>1.4918040551445935</v>
      </c>
      <c r="F26" s="1">
        <f t="shared" si="1"/>
        <v>1.9118743334020856</v>
      </c>
      <c r="G26" s="1">
        <f t="shared" si="2"/>
        <v>9364.8229451066036</v>
      </c>
      <c r="H26" s="1">
        <f t="shared" si="3"/>
        <v>44381.049882866646</v>
      </c>
      <c r="I26" s="1">
        <f>0.0762*((F26/(1.35*(1-0.0723))*3255000^(-0.0723))^(-1/0.0723))^0.2606-0.5912</f>
        <v>0.23470055794300448</v>
      </c>
    </row>
    <row r="27" spans="1:9">
      <c r="A27" s="1" t="s">
        <v>2</v>
      </c>
      <c r="B27" s="1">
        <v>232</v>
      </c>
      <c r="C27" s="1">
        <v>1.369</v>
      </c>
      <c r="D27" s="1">
        <v>0.4</v>
      </c>
      <c r="E27" s="1">
        <f t="shared" si="0"/>
        <v>1.4014353519810159</v>
      </c>
      <c r="F27" s="1">
        <f t="shared" si="1"/>
        <v>1.8262401621045457</v>
      </c>
      <c r="G27" s="1">
        <f t="shared" si="2"/>
        <v>17650.691380755543</v>
      </c>
      <c r="H27" s="1">
        <f t="shared" si="3"/>
        <v>70913.089338547434</v>
      </c>
      <c r="I27" s="1">
        <f>0.0762*((F27/(1.35*(1-0.0723))*3255000^(-0.0723))^(-1/0.0723))^0.2606-0.5912</f>
        <v>0.38302905119438768</v>
      </c>
    </row>
    <row r="28" spans="1:9">
      <c r="A28" s="1" t="s">
        <v>3</v>
      </c>
      <c r="B28" s="1">
        <f>B27*2</f>
        <v>464</v>
      </c>
      <c r="C28" s="1">
        <v>1.2410000000000001</v>
      </c>
      <c r="D28" s="1">
        <v>0.4</v>
      </c>
      <c r="E28" s="1">
        <f t="shared" si="0"/>
        <v>1.2367890716512302</v>
      </c>
      <c r="F28" s="1">
        <f t="shared" si="1"/>
        <v>1.7038715427525828</v>
      </c>
      <c r="G28" s="1">
        <f t="shared" si="2"/>
        <v>46065.269238312307</v>
      </c>
      <c r="H28" s="1">
        <f t="shared" si="3"/>
        <v>144134.92920098061</v>
      </c>
      <c r="I28" s="1">
        <f>0.0762*((F28/(1.35*(1-0.0723))*3255000^(-0.0723))^(-1/0.0723))^0.2606-0.5912</f>
        <v>0.65972172512294325</v>
      </c>
    </row>
    <row r="29" spans="1:9">
      <c r="A29" s="1" t="s">
        <v>4</v>
      </c>
      <c r="B29" s="1">
        <f>B27*3</f>
        <v>696</v>
      </c>
      <c r="C29" s="1">
        <v>1.119</v>
      </c>
      <c r="D29" s="1">
        <v>0.4</v>
      </c>
      <c r="E29" s="1">
        <f t="shared" si="0"/>
        <v>1.0914861007278438</v>
      </c>
      <c r="F29" s="1">
        <f t="shared" si="1"/>
        <v>1.588343805470454</v>
      </c>
      <c r="G29" s="1">
        <f t="shared" si="2"/>
        <v>121652.48913193349</v>
      </c>
      <c r="H29" s="1">
        <f t="shared" si="3"/>
        <v>295535.22769038728</v>
      </c>
      <c r="I29" s="1">
        <f>0.0762*((F29/(1.35*(1-0.0723))*3255000^(-0.0723))^(-1/0.0723))^0.2606-0.5912</f>
        <v>1.0199556691897471</v>
      </c>
    </row>
    <row r="30" spans="1:9">
      <c r="A30" s="1" t="s">
        <v>5</v>
      </c>
      <c r="B30" s="1">
        <f>B27*4</f>
        <v>928</v>
      </c>
      <c r="C30" s="2">
        <v>0.99280000000000002</v>
      </c>
      <c r="D30" s="1">
        <v>0.4</v>
      </c>
      <c r="E30" s="1">
        <f t="shared" si="0"/>
        <v>0.96325390916619147</v>
      </c>
      <c r="F30" s="1">
        <f t="shared" si="1"/>
        <v>1.4703512694438214</v>
      </c>
      <c r="G30" s="1">
        <f t="shared" si="2"/>
        <v>353827.8326736798</v>
      </c>
      <c r="H30" s="1">
        <f t="shared" si="3"/>
        <v>650800.06568757712</v>
      </c>
      <c r="I30" s="1">
        <f>0.0762*((F30/(1.35*(1-0.0723))*3255000^(-0.0723))^(-1/0.0723))^0.2606-0.5912</f>
        <v>1.5367928505242692</v>
      </c>
    </row>
    <row r="31" spans="1:9">
      <c r="A31" s="1" t="s">
        <v>12</v>
      </c>
      <c r="C31" s="1">
        <f>AVERAGE(C25:C30)</f>
        <v>1.2931333333333332</v>
      </c>
      <c r="D31" s="1">
        <f>AVERAGE(D25:D30)</f>
        <v>0.39999999999999997</v>
      </c>
    </row>
    <row r="33" spans="1:9">
      <c r="A33" s="1" t="s">
        <v>11</v>
      </c>
      <c r="E33" s="1" t="s">
        <v>1</v>
      </c>
      <c r="I33" s="1" t="s">
        <v>2</v>
      </c>
    </row>
    <row r="34" spans="1:9">
      <c r="A34" s="1" t="s">
        <v>47</v>
      </c>
      <c r="E34" s="1" t="s">
        <v>46</v>
      </c>
      <c r="I34" s="1" t="s">
        <v>45</v>
      </c>
    </row>
    <row r="36" spans="1:9">
      <c r="A36" s="1" t="s">
        <v>3</v>
      </c>
      <c r="E36" s="1" t="s">
        <v>4</v>
      </c>
      <c r="I36" s="1" t="s">
        <v>5</v>
      </c>
    </row>
    <row r="37" spans="1:9">
      <c r="A37" s="1" t="s">
        <v>44</v>
      </c>
      <c r="E37" s="1" t="s">
        <v>42</v>
      </c>
      <c r="I37" s="1" t="s">
        <v>43</v>
      </c>
    </row>
    <row r="40" spans="1:9">
      <c r="A40" s="1" t="s">
        <v>49</v>
      </c>
      <c r="F40" s="1" t="s">
        <v>51</v>
      </c>
    </row>
    <row r="41" spans="1:9">
      <c r="A41" s="1" t="s">
        <v>50</v>
      </c>
      <c r="F41" s="1" t="s">
        <v>55</v>
      </c>
    </row>
    <row r="42" spans="1:9">
      <c r="A42" s="1" t="s">
        <v>9</v>
      </c>
    </row>
    <row r="43" spans="1:9">
      <c r="A43" s="1" t="s">
        <v>53</v>
      </c>
    </row>
    <row r="44" spans="1:9">
      <c r="A44" s="1" t="s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22" workbookViewId="0">
      <selection activeCell="F25" sqref="F25:G25"/>
    </sheetView>
  </sheetViews>
  <sheetFormatPr defaultRowHeight="13.2"/>
  <cols>
    <col min="1" max="1" width="9.21875" bestFit="1" customWidth="1"/>
    <col min="5" max="5" width="9.21875" bestFit="1" customWidth="1"/>
    <col min="7" max="7" width="9.88671875" customWidth="1"/>
  </cols>
  <sheetData>
    <row r="1" spans="1:10" ht="13.8">
      <c r="A1" s="1" t="s">
        <v>10</v>
      </c>
      <c r="B1" s="1"/>
      <c r="C1" s="1"/>
      <c r="D1" s="1"/>
      <c r="E1" s="1"/>
      <c r="F1" s="1"/>
      <c r="G1" s="1" t="s">
        <v>78</v>
      </c>
      <c r="H1" s="1" t="s">
        <v>80</v>
      </c>
      <c r="I1" s="1"/>
      <c r="J1" s="1"/>
    </row>
    <row r="2" spans="1:10" ht="13.8">
      <c r="A2" s="1" t="s">
        <v>77</v>
      </c>
      <c r="B2" s="1"/>
      <c r="C2" s="1"/>
      <c r="D2" s="1"/>
      <c r="E2" s="1"/>
      <c r="F2" s="1"/>
      <c r="G2" s="1" t="s">
        <v>79</v>
      </c>
      <c r="H2" s="1" t="s">
        <v>81</v>
      </c>
      <c r="I2" s="1"/>
      <c r="J2" s="1"/>
    </row>
    <row r="3" spans="1:10" ht="13.8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3.8">
      <c r="A4" s="1"/>
      <c r="B4" s="1" t="s">
        <v>6</v>
      </c>
      <c r="C4" s="1" t="s">
        <v>7</v>
      </c>
      <c r="D4" s="1" t="s">
        <v>8</v>
      </c>
      <c r="E4" s="1"/>
      <c r="F4" s="1"/>
      <c r="G4" s="1"/>
      <c r="H4" s="1"/>
      <c r="I4" s="1"/>
      <c r="J4" s="1"/>
    </row>
    <row r="5" spans="1:10" ht="13.8">
      <c r="A5" s="1" t="s">
        <v>0</v>
      </c>
      <c r="B5" s="1">
        <v>53</v>
      </c>
      <c r="C5" s="3">
        <v>0.38350000000000001</v>
      </c>
      <c r="D5" s="1">
        <v>0.37640000000000001</v>
      </c>
      <c r="E5" s="1"/>
      <c r="F5" s="1"/>
      <c r="G5" s="1"/>
      <c r="H5" s="1"/>
      <c r="I5" s="1"/>
      <c r="J5" s="1"/>
    </row>
    <row r="6" spans="1:10" ht="13.8">
      <c r="A6" s="1" t="s">
        <v>1</v>
      </c>
      <c r="B6" s="1">
        <f>232/2</f>
        <v>116</v>
      </c>
      <c r="C6" s="3">
        <v>0.36249999999999999</v>
      </c>
      <c r="D6" s="1">
        <v>0.47320000000000001</v>
      </c>
      <c r="E6" s="1"/>
      <c r="F6" s="1"/>
      <c r="G6" s="1"/>
      <c r="H6" s="1"/>
      <c r="I6" s="1"/>
      <c r="J6" s="1"/>
    </row>
    <row r="7" spans="1:10" ht="13.8">
      <c r="A7" s="1" t="s">
        <v>2</v>
      </c>
      <c r="B7" s="1">
        <v>232</v>
      </c>
      <c r="C7" s="3">
        <v>0.31840000000000002</v>
      </c>
      <c r="D7" s="1">
        <v>0.66520000000000001</v>
      </c>
      <c r="E7" s="1"/>
      <c r="F7" s="1"/>
      <c r="G7" s="1"/>
      <c r="H7" s="1"/>
      <c r="I7" s="1"/>
      <c r="J7" s="1"/>
    </row>
    <row r="8" spans="1:10" ht="13.8">
      <c r="A8" s="1" t="s">
        <v>3</v>
      </c>
      <c r="B8" s="1">
        <f>B7*2</f>
        <v>464</v>
      </c>
      <c r="C8" s="3">
        <v>0.29459999999999997</v>
      </c>
      <c r="D8" s="1">
        <v>0.81499999999999995</v>
      </c>
      <c r="E8" s="1"/>
      <c r="F8" s="1"/>
      <c r="G8" s="1"/>
      <c r="H8" s="1"/>
      <c r="I8" s="1"/>
      <c r="J8" s="1"/>
    </row>
    <row r="9" spans="1:10" ht="13.8">
      <c r="A9" s="1" t="s">
        <v>4</v>
      </c>
      <c r="B9" s="1">
        <f>B7*3</f>
        <v>696</v>
      </c>
      <c r="C9" s="3">
        <v>0.28010000000000002</v>
      </c>
      <c r="D9" s="1">
        <v>0.93279999999999996</v>
      </c>
      <c r="E9" s="1"/>
      <c r="F9" s="1"/>
      <c r="G9" s="1"/>
      <c r="H9" s="1"/>
      <c r="I9" s="1"/>
      <c r="J9" s="1"/>
    </row>
    <row r="10" spans="1:10" ht="13.8">
      <c r="A10" s="1" t="s">
        <v>5</v>
      </c>
      <c r="B10" s="1">
        <f>B7*4</f>
        <v>928</v>
      </c>
      <c r="C10" s="3">
        <v>0.30430000000000001</v>
      </c>
      <c r="D10" s="1">
        <v>0.89</v>
      </c>
      <c r="E10" s="1"/>
      <c r="F10" s="1"/>
      <c r="G10" s="1"/>
      <c r="H10" s="1"/>
      <c r="I10" s="1"/>
      <c r="J10" s="1"/>
    </row>
    <row r="11" spans="1:10" ht="13.8">
      <c r="A11" s="1" t="s">
        <v>12</v>
      </c>
      <c r="B11" s="1"/>
      <c r="C11" s="1">
        <f>AVERAGE(C5:C10)</f>
        <v>0.32390000000000002</v>
      </c>
      <c r="D11" s="1">
        <f>AVERAGE(D5:D10)</f>
        <v>0.69209999999999994</v>
      </c>
      <c r="E11" s="1"/>
      <c r="F11" s="1"/>
      <c r="G11" s="1"/>
      <c r="H11" s="1"/>
      <c r="I11" s="1"/>
      <c r="J11" s="1"/>
    </row>
    <row r="12" spans="1:10" ht="13.8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</row>
    <row r="14" spans="1:10" ht="13.8">
      <c r="A14" s="1" t="s">
        <v>82</v>
      </c>
      <c r="B14" s="1"/>
      <c r="C14" s="1"/>
      <c r="D14" s="1"/>
      <c r="E14" s="1" t="s">
        <v>93</v>
      </c>
      <c r="F14" s="1"/>
      <c r="G14" s="1"/>
      <c r="H14" s="1"/>
      <c r="I14" s="1" t="s">
        <v>85</v>
      </c>
      <c r="J14" s="1"/>
    </row>
    <row r="15" spans="1:10" ht="13.8">
      <c r="A15" s="1" t="s">
        <v>83</v>
      </c>
      <c r="B15" s="1"/>
      <c r="C15" s="1"/>
      <c r="D15" s="1"/>
      <c r="E15" s="1" t="s">
        <v>94</v>
      </c>
      <c r="F15" s="1"/>
      <c r="G15" s="1"/>
      <c r="H15" s="1"/>
      <c r="I15" s="1" t="s">
        <v>86</v>
      </c>
      <c r="J15" s="1"/>
    </row>
    <row r="16" spans="1:10" ht="13.8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5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</row>
    <row r="18" spans="1:15" ht="13.8">
      <c r="A18" s="1" t="s">
        <v>87</v>
      </c>
      <c r="B18" s="1"/>
      <c r="C18" s="1"/>
      <c r="D18" s="1"/>
      <c r="E18" s="1" t="s">
        <v>89</v>
      </c>
      <c r="F18" s="1"/>
      <c r="G18" s="1"/>
      <c r="H18" s="1"/>
      <c r="I18" s="1" t="s">
        <v>91</v>
      </c>
      <c r="J18" s="1"/>
    </row>
    <row r="19" spans="1:15" ht="13.8">
      <c r="A19" s="1" t="s">
        <v>88</v>
      </c>
      <c r="B19" s="1"/>
      <c r="C19" s="1"/>
      <c r="D19" s="1"/>
      <c r="E19" s="1" t="s">
        <v>90</v>
      </c>
      <c r="F19" s="1"/>
      <c r="G19" s="1"/>
      <c r="H19" s="1"/>
      <c r="I19" s="1" t="s">
        <v>92</v>
      </c>
      <c r="J19" s="1"/>
    </row>
    <row r="21" spans="1:15" ht="13.8">
      <c r="A21" s="1" t="s">
        <v>10</v>
      </c>
      <c r="B21" s="1"/>
      <c r="C21" s="1"/>
      <c r="D21" s="1"/>
      <c r="E21" s="1"/>
      <c r="F21" s="1"/>
      <c r="G21" s="1" t="s">
        <v>78</v>
      </c>
      <c r="H21" s="1" t="s">
        <v>96</v>
      </c>
      <c r="I21" s="1"/>
      <c r="J21" s="1"/>
    </row>
    <row r="22" spans="1:15" ht="13.8">
      <c r="A22" s="1" t="s">
        <v>95</v>
      </c>
      <c r="B22" s="1"/>
      <c r="C22" s="1"/>
      <c r="D22" s="1"/>
      <c r="E22" s="1"/>
      <c r="F22" s="1"/>
      <c r="G22" s="1" t="s">
        <v>79</v>
      </c>
      <c r="H22" s="1" t="s">
        <v>81</v>
      </c>
      <c r="I22" s="1"/>
      <c r="J22" s="1"/>
    </row>
    <row r="23" spans="1:15" ht="13.8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5" ht="13.8">
      <c r="A24" s="1"/>
      <c r="B24" s="1" t="s">
        <v>6</v>
      </c>
      <c r="C24" s="1" t="s">
        <v>7</v>
      </c>
      <c r="D24" s="1" t="s">
        <v>8</v>
      </c>
      <c r="E24" s="1" t="s">
        <v>104</v>
      </c>
      <c r="F24" s="1" t="s">
        <v>101</v>
      </c>
      <c r="G24" s="1" t="s">
        <v>114</v>
      </c>
      <c r="H24" s="1" t="s">
        <v>100</v>
      </c>
      <c r="I24" s="1" t="s">
        <v>115</v>
      </c>
      <c r="J24" s="1" t="s">
        <v>57</v>
      </c>
      <c r="K24" s="1" t="s">
        <v>116</v>
      </c>
      <c r="L24" s="1" t="s">
        <v>58</v>
      </c>
      <c r="M24" s="1" t="s">
        <v>105</v>
      </c>
      <c r="N24" s="1" t="s">
        <v>76</v>
      </c>
      <c r="O24" s="1"/>
    </row>
    <row r="25" spans="1:15" ht="13.8">
      <c r="A25" s="1" t="s">
        <v>0</v>
      </c>
      <c r="B25" s="1">
        <v>53</v>
      </c>
      <c r="C25" s="3">
        <v>0.33</v>
      </c>
      <c r="D25" s="1">
        <v>0.5655</v>
      </c>
      <c r="E25" s="1">
        <f xml:space="preserve"> 0.001449*B25^0.7384+0.5483</f>
        <v>0.57548151678369119</v>
      </c>
      <c r="F25" s="1">
        <f t="shared" ref="F25:G30" si="0">(9*(1-2*0.33)/(2*D25*(1+0.33))-D25)^2-D25^2</f>
        <v>1.8374756084274382</v>
      </c>
      <c r="G25" s="1">
        <f t="shared" si="0"/>
        <v>1.6951684481265303</v>
      </c>
      <c r="H25" s="1">
        <f t="shared" ref="H25:I30" si="1">D25+SQRT(F25+D25^2)</f>
        <v>2.0342633772760808</v>
      </c>
      <c r="I25" s="1">
        <f t="shared" si="1"/>
        <v>1.9989798217655372</v>
      </c>
      <c r="J25" s="1">
        <f>(H25/(1.35*(1-0.0723))*3255000^(-0.0723))^(-1/0.0723)</f>
        <v>3969.8770628478278</v>
      </c>
      <c r="K25" s="1">
        <f>(I25/(1.35*(1-0.0723))*3255000^(-0.0723))^(-1/0.0723)</f>
        <v>5056.821406939237</v>
      </c>
      <c r="L25" s="1">
        <f t="shared" ref="L25:M30" si="2">3*(1-2*0.33)/(0.0762*0.2606*J25^(0.2606-1))</f>
        <v>23529.166649066847</v>
      </c>
      <c r="M25" s="1">
        <f t="shared" si="2"/>
        <v>28139.598604578088</v>
      </c>
      <c r="N25" s="1">
        <f t="shared" ref="N25:N30" si="3">-(F25-H25^2)/(2*H25)</f>
        <v>0.56550000000000022</v>
      </c>
      <c r="O25" s="1"/>
    </row>
    <row r="26" spans="1:15" ht="13.8">
      <c r="A26" s="1" t="s">
        <v>1</v>
      </c>
      <c r="B26" s="1">
        <f>232/2</f>
        <v>116</v>
      </c>
      <c r="C26" s="3">
        <v>0.33</v>
      </c>
      <c r="D26" s="1">
        <v>0.59919999999999995</v>
      </c>
      <c r="E26" s="1">
        <f t="shared" ref="E26:E30" si="4" xml:space="preserve"> 0.001449*B26^0.7384+0.5483</f>
        <v>0.59676901173557595</v>
      </c>
      <c r="F26" s="1">
        <f t="shared" si="0"/>
        <v>1.385083804486547</v>
      </c>
      <c r="G26" s="1">
        <f t="shared" si="0"/>
        <v>1.4151740847261516</v>
      </c>
      <c r="H26" s="1">
        <f t="shared" si="1"/>
        <v>1.9198530371322162</v>
      </c>
      <c r="I26" s="1">
        <f t="shared" si="1"/>
        <v>1.9276737183520969</v>
      </c>
      <c r="J26" s="1">
        <f t="shared" ref="J26:J30" si="5">(H26/(1.35*(1-0.0723))*3255000^(-0.0723))^(-1/0.0723)</f>
        <v>8840.6413446640327</v>
      </c>
      <c r="K26" s="1">
        <f t="shared" ref="K26:K30" si="6">(I26/(1.35*(1-0.0723))*3255000^(-0.0723))^(-1/0.0723)</f>
        <v>8357.2638951628905</v>
      </c>
      <c r="L26" s="1">
        <f t="shared" si="2"/>
        <v>42530.539337002985</v>
      </c>
      <c r="M26" s="1">
        <f t="shared" si="2"/>
        <v>40798.57518375088</v>
      </c>
      <c r="N26" s="1">
        <f t="shared" si="3"/>
        <v>0.59919999999999995</v>
      </c>
      <c r="O26" s="1"/>
    </row>
    <row r="27" spans="1:15" ht="13.8">
      <c r="A27" s="1" t="s">
        <v>2</v>
      </c>
      <c r="B27" s="1">
        <v>232</v>
      </c>
      <c r="C27" s="3">
        <v>0.33</v>
      </c>
      <c r="D27" s="1">
        <v>0.63</v>
      </c>
      <c r="E27" s="1">
        <f t="shared" si="4"/>
        <v>0.62916204371092588</v>
      </c>
      <c r="F27" s="1">
        <f t="shared" si="0"/>
        <v>1.0335005843594709</v>
      </c>
      <c r="G27" s="1">
        <f t="shared" si="0"/>
        <v>1.0423880194203539</v>
      </c>
      <c r="H27" s="1">
        <f t="shared" si="1"/>
        <v>1.8259935553168631</v>
      </c>
      <c r="I27" s="1">
        <f t="shared" si="1"/>
        <v>1.8284255246303038</v>
      </c>
      <c r="J27" s="1">
        <f t="shared" si="5"/>
        <v>17683.690742724251</v>
      </c>
      <c r="K27" s="1">
        <f t="shared" si="6"/>
        <v>17361.128840478876</v>
      </c>
      <c r="L27" s="1">
        <f t="shared" si="2"/>
        <v>71011.093371362236</v>
      </c>
      <c r="M27" s="1">
        <f t="shared" si="2"/>
        <v>70051.063450813817</v>
      </c>
      <c r="N27" s="1">
        <f t="shared" si="3"/>
        <v>0.63</v>
      </c>
      <c r="O27" s="1"/>
    </row>
    <row r="28" spans="1:15" ht="13.8">
      <c r="A28" s="1" t="s">
        <v>3</v>
      </c>
      <c r="B28" s="1">
        <f>B27*2</f>
        <v>464</v>
      </c>
      <c r="C28" s="3">
        <v>0.33</v>
      </c>
      <c r="D28" s="1">
        <v>0.67220000000000002</v>
      </c>
      <c r="E28" s="1">
        <f t="shared" si="4"/>
        <v>0.68320413521900503</v>
      </c>
      <c r="F28" s="1">
        <f t="shared" si="0"/>
        <v>0.62799988599709133</v>
      </c>
      <c r="G28" s="1">
        <f t="shared" si="0"/>
        <v>0.5344148707525751</v>
      </c>
      <c r="H28" s="1">
        <f t="shared" si="1"/>
        <v>1.7113596248878666</v>
      </c>
      <c r="I28" s="1">
        <f t="shared" si="1"/>
        <v>1.6837953410233153</v>
      </c>
      <c r="J28" s="1">
        <f t="shared" si="5"/>
        <v>43354.374087563447</v>
      </c>
      <c r="K28" s="1">
        <f t="shared" si="6"/>
        <v>54271.353790289635</v>
      </c>
      <c r="L28" s="1">
        <f t="shared" si="2"/>
        <v>137813.87066690897</v>
      </c>
      <c r="M28" s="1">
        <f t="shared" si="2"/>
        <v>162709.28305112128</v>
      </c>
      <c r="N28" s="1">
        <f t="shared" si="3"/>
        <v>0.67220000000000024</v>
      </c>
      <c r="O28" s="1"/>
    </row>
    <row r="29" spans="1:15" ht="13.8">
      <c r="A29" s="1" t="s">
        <v>4</v>
      </c>
      <c r="B29" s="1">
        <f>B27*3</f>
        <v>696</v>
      </c>
      <c r="C29" s="3">
        <v>0.33</v>
      </c>
      <c r="D29" s="1">
        <v>0.72289999999999999</v>
      </c>
      <c r="E29" s="1">
        <f t="shared" si="4"/>
        <v>0.73029147631199187</v>
      </c>
      <c r="F29" s="1">
        <f t="shared" si="0"/>
        <v>0.23159462291629251</v>
      </c>
      <c r="G29" s="1">
        <f t="shared" si="0"/>
        <v>0.18059291755634654</v>
      </c>
      <c r="H29" s="1">
        <f t="shared" si="1"/>
        <v>1.5913348178857711</v>
      </c>
      <c r="I29" s="1">
        <f t="shared" si="1"/>
        <v>1.5752284904913301</v>
      </c>
      <c r="J29" s="1">
        <f t="shared" si="5"/>
        <v>118527.77967522097</v>
      </c>
      <c r="K29" s="1">
        <f t="shared" si="6"/>
        <v>136435.29887168054</v>
      </c>
      <c r="L29" s="1">
        <f t="shared" si="2"/>
        <v>289903.46571090003</v>
      </c>
      <c r="M29" s="1">
        <f t="shared" si="2"/>
        <v>321688.56653439248</v>
      </c>
      <c r="N29" s="1">
        <f t="shared" si="3"/>
        <v>0.72289999999999988</v>
      </c>
      <c r="O29" s="1"/>
    </row>
    <row r="30" spans="1:15" ht="13.8">
      <c r="A30" s="1" t="s">
        <v>5</v>
      </c>
      <c r="B30" s="1">
        <f>B27*4</f>
        <v>928</v>
      </c>
      <c r="C30" s="3">
        <v>0.33</v>
      </c>
      <c r="D30" s="1">
        <v>0.77759999999999996</v>
      </c>
      <c r="E30" s="1">
        <f t="shared" si="4"/>
        <v>0.77336388490807551</v>
      </c>
      <c r="F30" s="1">
        <f t="shared" si="0"/>
        <v>-0.11214844794774154</v>
      </c>
      <c r="G30" s="1">
        <f t="shared" si="0"/>
        <v>-8.8106550650407067E-2</v>
      </c>
      <c r="H30" s="1">
        <f t="shared" si="1"/>
        <v>1.4793929267613477</v>
      </c>
      <c r="I30" s="1">
        <f t="shared" si="1"/>
        <v>1.4874963290875176</v>
      </c>
      <c r="J30" s="1">
        <f t="shared" si="5"/>
        <v>325062.69840798498</v>
      </c>
      <c r="K30" s="1">
        <f t="shared" si="6"/>
        <v>301407.7024404651</v>
      </c>
      <c r="L30" s="1">
        <f t="shared" si="2"/>
        <v>611250.58749924635</v>
      </c>
      <c r="M30" s="1">
        <f t="shared" si="2"/>
        <v>578039.49484035082</v>
      </c>
      <c r="N30" s="1">
        <f t="shared" si="3"/>
        <v>0.77759999999999985</v>
      </c>
      <c r="O30" s="1"/>
    </row>
    <row r="31" spans="1:15" ht="13.8">
      <c r="A31" s="1" t="s">
        <v>12</v>
      </c>
      <c r="B31" s="1"/>
      <c r="C31" s="1">
        <f>AVERAGE(C25:C30)</f>
        <v>0.33</v>
      </c>
      <c r="D31" s="1">
        <f>AVERAGE(D25:D30)</f>
        <v>0.66123333333333334</v>
      </c>
      <c r="E31" s="1"/>
      <c r="F31" s="1"/>
      <c r="G31" s="1"/>
      <c r="H31" s="1"/>
      <c r="I31" s="1"/>
      <c r="J31" s="1"/>
    </row>
    <row r="32" spans="1:15" ht="13.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3.8">
      <c r="A33" s="1" t="s">
        <v>11</v>
      </c>
      <c r="B33" s="1"/>
      <c r="C33" s="1"/>
      <c r="D33" s="1"/>
      <c r="E33" s="1" t="s">
        <v>1</v>
      </c>
      <c r="F33" s="1"/>
      <c r="G33" s="1"/>
      <c r="H33" s="1"/>
      <c r="I33" s="1" t="s">
        <v>2</v>
      </c>
      <c r="J33" s="1"/>
    </row>
    <row r="34" spans="1:10" ht="13.8">
      <c r="A34" s="1" t="s">
        <v>102</v>
      </c>
      <c r="B34" s="1"/>
      <c r="C34" s="1"/>
      <c r="D34" s="1"/>
      <c r="E34" s="1" t="s">
        <v>84</v>
      </c>
      <c r="F34" s="1"/>
      <c r="G34" s="1"/>
      <c r="H34" s="1"/>
      <c r="I34" s="1" t="s">
        <v>103</v>
      </c>
      <c r="J34" s="1"/>
    </row>
    <row r="35" spans="1:10" ht="13.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3.8">
      <c r="A36" s="1" t="s">
        <v>3</v>
      </c>
      <c r="B36" s="1"/>
      <c r="C36" s="1"/>
      <c r="D36" s="1"/>
      <c r="E36" s="1" t="s">
        <v>4</v>
      </c>
      <c r="F36" s="1"/>
      <c r="G36" s="1"/>
      <c r="H36" s="1"/>
      <c r="I36" s="1" t="s">
        <v>5</v>
      </c>
      <c r="J36" s="1"/>
    </row>
    <row r="37" spans="1:10" ht="13.8">
      <c r="A37" s="1" t="s">
        <v>97</v>
      </c>
      <c r="B37" s="1"/>
      <c r="C37" s="1"/>
      <c r="D37" s="1"/>
      <c r="E37" s="1" t="s">
        <v>98</v>
      </c>
      <c r="F37" s="1"/>
      <c r="G37" s="1"/>
      <c r="H37" s="1"/>
      <c r="I37" s="1" t="s">
        <v>99</v>
      </c>
      <c r="J37" s="1"/>
    </row>
    <row r="39" spans="1:10" ht="13.8">
      <c r="G39" s="1" t="s">
        <v>10</v>
      </c>
      <c r="H39" s="1"/>
      <c r="I39" s="1"/>
    </row>
    <row r="40" spans="1:10" ht="13.8">
      <c r="G40" s="1" t="s">
        <v>111</v>
      </c>
      <c r="H40" s="1"/>
      <c r="I40" s="1"/>
    </row>
    <row r="41" spans="1:10" ht="13.8">
      <c r="G41" s="1" t="s">
        <v>9</v>
      </c>
      <c r="H41" s="1"/>
      <c r="I41" s="1"/>
    </row>
    <row r="42" spans="1:10" ht="13.8">
      <c r="G42" s="1" t="s">
        <v>112</v>
      </c>
      <c r="H42" s="1"/>
      <c r="I42" s="1"/>
    </row>
    <row r="43" spans="1:10" ht="13.8">
      <c r="G43" s="1" t="s">
        <v>113</v>
      </c>
      <c r="H43" s="1"/>
      <c r="I43" s="1"/>
    </row>
    <row r="44" spans="1:10" ht="13.8">
      <c r="G44" s="1"/>
      <c r="H44" s="1"/>
      <c r="I44" s="1"/>
    </row>
    <row r="45" spans="1:10" ht="13.8">
      <c r="G45" s="1" t="s">
        <v>106</v>
      </c>
      <c r="H45" s="1"/>
      <c r="I45" s="1"/>
    </row>
    <row r="46" spans="1:10" ht="13.8">
      <c r="G46" s="1" t="s">
        <v>107</v>
      </c>
      <c r="H46" s="1"/>
      <c r="I46" s="1"/>
    </row>
    <row r="47" spans="1:10" ht="13.8">
      <c r="G47" s="1" t="s">
        <v>108</v>
      </c>
      <c r="H47" s="1"/>
      <c r="I47" s="1"/>
    </row>
    <row r="48" spans="1:10" ht="13.8">
      <c r="G48" s="1" t="s">
        <v>109</v>
      </c>
      <c r="H48" s="1"/>
      <c r="I48" s="1"/>
    </row>
    <row r="49" spans="7:9" ht="13.8">
      <c r="G49" s="1" t="s">
        <v>110</v>
      </c>
      <c r="H49" s="1"/>
      <c r="I4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3.2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fit 1</vt:lpstr>
      <vt:lpstr>fit 2</vt:lpstr>
      <vt:lpstr>fit3</vt:lpstr>
      <vt:lpstr>Sheet2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2016-01-30T10:27:06Z</dcterms:created>
  <dcterms:modified xsi:type="dcterms:W3CDTF">2016-02-12T05:09:44Z</dcterms:modified>
</cp:coreProperties>
</file>