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Google Drive\2 - RALLYES\MONTAÑA\2021\LANJARON\DOCUMENTACION WEB\"/>
    </mc:Choice>
  </mc:AlternateContent>
  <bookViews>
    <workbookView xWindow="195" yWindow="1080" windowWidth="28800" windowHeight="24735" tabRatio="756"/>
  </bookViews>
  <sheets>
    <sheet name=" Boletín de Inscripción " sheetId="1" r:id="rId1"/>
    <sheet name="HOJA EXPORTACION" sheetId="6" r:id="rId2"/>
    <sheet name="Exportacion" sheetId="5" state="hidden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mbos">' Datos de Organizadores '!$O$28</definedName>
    <definedName name="_xlnm.Print_Area" localSheetId="0">' Boletín de Inscripción '!$B$11:$AH$187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'!$C$74</definedName>
    <definedName name="Cierre">' Derechos de Inscripción '!#REF!</definedName>
    <definedName name="CILINDRADA">' Boletín de Inscripción '!$C$72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'!$Q$43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'!$Q$43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 iterateDelta="1E-4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3" l="1"/>
  <c r="P33" i="3"/>
  <c r="L122" i="1" l="1"/>
  <c r="U3" i="6" l="1"/>
  <c r="T3" i="6"/>
  <c r="E3" i="6"/>
  <c r="S3" i="6"/>
  <c r="Q72" i="1"/>
  <c r="Q3" i="6" s="1"/>
  <c r="O3" i="6"/>
  <c r="M3" i="6"/>
  <c r="L3" i="6"/>
  <c r="AG61" i="1"/>
  <c r="K3" i="6"/>
  <c r="J3" i="6"/>
  <c r="I3" i="6"/>
  <c r="AG52" i="1"/>
  <c r="H3" i="6" s="1"/>
  <c r="G3" i="6"/>
  <c r="F3" i="6"/>
  <c r="D3" i="6"/>
  <c r="C3" i="6"/>
  <c r="B3" i="6"/>
  <c r="C74" i="1"/>
  <c r="B18" i="2"/>
  <c r="C18" i="1" s="1"/>
  <c r="C126" i="1" s="1"/>
  <c r="H25" i="2"/>
  <c r="C28" i="1" s="1"/>
  <c r="D25" i="2"/>
  <c r="D24" i="2"/>
  <c r="F23" i="2"/>
  <c r="C24" i="1" s="1"/>
  <c r="D23" i="2"/>
  <c r="D22" i="2"/>
  <c r="C22" i="1" s="1"/>
  <c r="D21" i="2"/>
  <c r="C21" i="1" s="1"/>
  <c r="D87" i="1"/>
  <c r="D16" i="2"/>
  <c r="Z18" i="1" s="1"/>
  <c r="Z126" i="1" s="1"/>
  <c r="J29" i="2"/>
  <c r="M29" i="2" s="1"/>
  <c r="J31" i="2"/>
  <c r="F25" i="2"/>
  <c r="Q68" i="1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A2" i="5"/>
  <c r="B2" i="5"/>
  <c r="C2" i="5" s="1"/>
  <c r="D2" i="5"/>
  <c r="G2" i="5" s="1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K2" i="5" s="1"/>
  <c r="AI2" i="5"/>
  <c r="AJ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BA2" i="5"/>
  <c r="BE2" i="5"/>
  <c r="BF2" i="5"/>
  <c r="BG2" i="5"/>
  <c r="BH2" i="5"/>
  <c r="BI2" i="5"/>
  <c r="BJ2" i="5"/>
  <c r="BK2" i="5"/>
  <c r="BL2" i="5"/>
  <c r="BN2" i="5"/>
  <c r="BO2" i="5"/>
  <c r="BP2" i="5"/>
  <c r="BQ2" i="5"/>
  <c r="BR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G12" i="1"/>
  <c r="G129" i="1"/>
  <c r="AE131" i="1"/>
  <c r="G133" i="1"/>
  <c r="P35" i="3" l="1"/>
  <c r="N3" i="6"/>
  <c r="Z131" i="1"/>
  <c r="BB2" i="5" s="1"/>
  <c r="AA68" i="1"/>
  <c r="C90" i="1"/>
  <c r="G90" i="1" s="1"/>
  <c r="AZ2" i="5"/>
  <c r="C26" i="1"/>
  <c r="C99" i="1"/>
  <c r="Q69" i="1" l="1"/>
  <c r="P37" i="3" l="1"/>
  <c r="P3" i="6"/>
  <c r="BD2" i="5"/>
  <c r="P39" i="3" l="1"/>
  <c r="W72" i="1" s="1"/>
  <c r="R3" i="6" l="1"/>
  <c r="BC2" i="5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9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0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90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<sst xmlns="http://schemas.openxmlformats.org/spreadsheetml/2006/main" count="552" uniqueCount="422">
  <si>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</si>
  <si>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</si>
  <si>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</si>
  <si>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</si>
  <si>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</si>
  <si>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</si>
  <si>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</si>
  <si>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</si>
  <si>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</si>
  <si>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</si>
  <si>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</si>
  <si>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</si>
  <si>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</si>
  <si>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</si>
  <si>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</si>
  <si>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Clase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</si>
  <si>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</si>
  <si>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</si>
  <si>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</si>
  <si>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</si>
  <si>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</si>
  <si>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</si>
  <si>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</si>
  <si>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</si>
  <si>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</si>
  <si>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</si>
  <si>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</si>
  <si>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</si>
  <si>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</si>
  <si>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</si>
  <si>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</si>
  <si>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</si>
  <si>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</si>
  <si>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</si>
  <si>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</si>
  <si>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</si>
  <si>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</si>
  <si>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</si>
  <si>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</si>
  <si>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</si>
  <si>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</si>
  <si>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</si>
  <si>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</si>
  <si>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</si>
  <si>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</si>
  <si>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</si>
  <si>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</si>
  <si>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</si>
  <si>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</si>
  <si>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</si>
  <si>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</si>
  <si>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</si>
  <si>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</si>
  <si>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</si>
  <si>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</si>
  <si>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</si>
  <si>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</si>
  <si>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</si>
  <si>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</si>
  <si>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NumeroEntrada</t>
  </si>
  <si>
    <t>NumeroRallye</t>
  </si>
  <si>
    <t>NumeroOrden</t>
  </si>
  <si>
    <t>NombreConcursante</t>
  </si>
  <si>
    <t>PrimerApellidoConcursante</t>
  </si>
  <si>
    <t>SegundoApellidoConcursante</t>
  </si>
  <si>
    <t>NomApeConcursante</t>
  </si>
  <si>
    <t>NacionalidadConcursante</t>
  </si>
  <si>
    <t>LicenciaConcursante</t>
  </si>
  <si>
    <t>DniCifConcursante</t>
  </si>
  <si>
    <t>DireccionConcursante</t>
  </si>
  <si>
    <t>CodigoPostalConcursante</t>
  </si>
  <si>
    <t>PoblacionConcursante</t>
  </si>
  <si>
    <t>ProvinciaConcursante</t>
  </si>
  <si>
    <t>Telefono1Concursante</t>
  </si>
  <si>
    <t>Telefono2Concursante</t>
  </si>
  <si>
    <t>FaxConcursante</t>
  </si>
  <si>
    <t>EMailConcursante</t>
  </si>
  <si>
    <t>NombrePiloto</t>
  </si>
  <si>
    <t>PrimerApellidoPiloto</t>
  </si>
  <si>
    <t>SegundoApellidoPiloto</t>
  </si>
  <si>
    <t>NomApePiloto</t>
  </si>
  <si>
    <t>NacionalidadPiloto</t>
  </si>
  <si>
    <t>PoblacionPiloto</t>
  </si>
  <si>
    <t>ProvinciaPiloto</t>
  </si>
  <si>
    <t>LicenciaPiloto</t>
  </si>
  <si>
    <t>DniCifPiloto</t>
  </si>
  <si>
    <t>DireccionPiloto</t>
  </si>
  <si>
    <t>CodigoPostalPiloto</t>
  </si>
  <si>
    <t>Telefono1Piloto</t>
  </si>
  <si>
    <t>Telefono2Piloto</t>
  </si>
  <si>
    <t>FaxPiloto</t>
  </si>
  <si>
    <t>EMailPiloto</t>
  </si>
  <si>
    <t>NombreCopiloto</t>
  </si>
  <si>
    <t>PrimerApellidoCopiloto</t>
  </si>
  <si>
    <t>SegundoApellidoCopiloto</t>
  </si>
  <si>
    <t>NomApeCopiloto</t>
  </si>
  <si>
    <t>NacionalidadCopiloto</t>
  </si>
  <si>
    <t>LicenciaCopiloto</t>
  </si>
  <si>
    <t>DniCifCopiloto</t>
  </si>
  <si>
    <t>DireccionCopiloto</t>
  </si>
  <si>
    <t>CodigoPostalCopiloto</t>
  </si>
  <si>
    <t>PoblacionCopiloto</t>
  </si>
  <si>
    <t>ProvinciaCopiloto</t>
  </si>
  <si>
    <t>Telefono1Copiloto</t>
  </si>
  <si>
    <t>Telefono2Copiloto</t>
  </si>
  <si>
    <t>FaxCopiloto</t>
  </si>
  <si>
    <t>EMailCopiloto</t>
  </si>
  <si>
    <t>Marca</t>
  </si>
  <si>
    <t>Modelo</t>
  </si>
  <si>
    <t>Matricula</t>
  </si>
  <si>
    <t>Cilindrada</t>
  </si>
  <si>
    <t>FichaHomologacion</t>
  </si>
  <si>
    <t>Trofeo01</t>
  </si>
  <si>
    <t>Trofeo02</t>
  </si>
  <si>
    <t>Trofeo03</t>
  </si>
  <si>
    <t>Trofeo04</t>
  </si>
  <si>
    <t>Trofeo05</t>
  </si>
  <si>
    <t>Trofeo06</t>
  </si>
  <si>
    <t>Trofeo07</t>
  </si>
  <si>
    <t>Trofeo08</t>
  </si>
  <si>
    <t>Trofeo09</t>
  </si>
  <si>
    <t>Fecha</t>
  </si>
  <si>
    <t>Hora</t>
  </si>
  <si>
    <t>Representante</t>
  </si>
  <si>
    <t>LicenciaRepresentante</t>
  </si>
  <si>
    <t>GrupoH</t>
  </si>
  <si>
    <t>ClaseH</t>
  </si>
  <si>
    <t>GrupoA</t>
  </si>
  <si>
    <t>ClaseA</t>
  </si>
  <si>
    <t>NO</t>
  </si>
  <si>
    <t xml:space="preserve">        </t>
  </si>
  <si>
    <t>NombreA1</t>
  </si>
  <si>
    <t>PrimerApellidoA1</t>
  </si>
  <si>
    <t>SegundoApellidoA1</t>
  </si>
  <si>
    <t>DniCifA1</t>
  </si>
  <si>
    <t>LicenciaA1</t>
  </si>
  <si>
    <t>NombreA2</t>
  </si>
  <si>
    <t>PrimerApellidoA2</t>
  </si>
  <si>
    <t>SegundoApellidoA2</t>
  </si>
  <si>
    <t>DniCifA2</t>
  </si>
  <si>
    <t>LicenciaA2</t>
  </si>
  <si>
    <t>NombreR1</t>
  </si>
  <si>
    <t>PrimerApellidoR1</t>
  </si>
  <si>
    <t>SegundoApellidoR1</t>
  </si>
  <si>
    <t>DniCifR1</t>
  </si>
  <si>
    <t>LicenciaR1</t>
  </si>
  <si>
    <t>NombreR2</t>
  </si>
  <si>
    <t>PrimerApellidoR2</t>
  </si>
  <si>
    <t>SegundoApellidoR2</t>
  </si>
  <si>
    <t>DniCifR2</t>
  </si>
  <si>
    <t>LicenciaR2</t>
  </si>
  <si>
    <t>NombreAux</t>
  </si>
  <si>
    <t>PrimerApellidoAux</t>
  </si>
  <si>
    <t>SegundoApellidoAux</t>
  </si>
  <si>
    <t>DniCifAux</t>
  </si>
  <si>
    <t>LicenciaAux</t>
  </si>
  <si>
    <t>NombreO1</t>
  </si>
  <si>
    <t>PrimerApellidoO1</t>
  </si>
  <si>
    <t>SegundoApellidoO1</t>
  </si>
  <si>
    <t>DniCifO1</t>
  </si>
  <si>
    <t>LicenciaO1</t>
  </si>
  <si>
    <t>NombreO2</t>
  </si>
  <si>
    <t>PrimerApellidoO2</t>
  </si>
  <si>
    <t>SegundoApellidoO2</t>
  </si>
  <si>
    <t>DniCifO2</t>
  </si>
  <si>
    <t>LicenciaO2</t>
  </si>
  <si>
    <t>MarcaOuvreur</t>
  </si>
  <si>
    <t>ModeloOuvreur</t>
  </si>
  <si>
    <t>MatriculaOuvreur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</si>
  <si>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</si>
  <si>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</si>
  <si>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</si>
  <si>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</si>
  <si>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</si>
  <si>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</si>
  <si>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</si>
  <si>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</si>
  <si>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</si>
  <si>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</si>
  <si>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</si>
  <si>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</si>
  <si>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</si>
  <si>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</si>
  <si>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</si>
  <si>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</si>
  <si>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</si>
  <si>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INDIVIDUAL</t>
  </si>
  <si>
    <t>COLECTIVO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</si>
  <si>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</si>
  <si>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</si>
  <si>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</si>
  <si>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</si>
  <si>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</si>
  <si>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</si>
  <si>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</si>
  <si>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</si>
  <si>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</si>
  <si>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</si>
  <si>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</si>
  <si>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</si>
  <si>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</si>
  <si>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</si>
  <si>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</si>
  <si>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</si>
  <si>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</si>
  <si>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</si>
  <si>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</si>
  <si>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</si>
  <si>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</si>
  <si>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</si>
  <si>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</si>
  <si>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</si>
  <si>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</si>
  <si>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N</t>
  </si>
  <si>
    <t>A</t>
  </si>
  <si>
    <t>CAMPEONATO de ANDALUCIA</t>
  </si>
  <si>
    <t>ALMERIA</t>
  </si>
  <si>
    <t>CARRILLO</t>
  </si>
  <si>
    <t>HARO</t>
  </si>
  <si>
    <t>JOSE ANTONIO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</si>
  <si>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</si>
  <si>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</si>
  <si>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</si>
  <si>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</si>
  <si>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</si>
  <si>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</si>
  <si>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</si>
  <si>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</si>
  <si>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</si>
  <si>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</si>
  <si>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</si>
  <si>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</si>
  <si>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</si>
  <si>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</si>
  <si>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</si>
  <si>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</si>
  <si>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</si>
  <si>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</si>
  <si>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</si>
  <si>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</si>
  <si>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</si>
  <si>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</si>
  <si>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</si>
  <si>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</si>
  <si>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</si>
  <si>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</si>
  <si>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</si>
  <si>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</si>
  <si>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</si>
  <si>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</si>
  <si>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</si>
  <si>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</si>
  <si>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</si>
  <si>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</si>
  <si>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</si>
  <si>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</si>
  <si>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</si>
  <si>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</si>
  <si>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</si>
  <si>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</si>
  <si>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</si>
  <si>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</si>
  <si>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</si>
  <si>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</si>
  <si>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</si>
  <si>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</si>
  <si>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</si>
  <si>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</si>
  <si>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</si>
  <si>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</si>
  <si>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</si>
  <si>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</si>
  <si>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</si>
  <si>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</si>
  <si>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</si>
  <si>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</si>
  <si>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</si>
  <si>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</si>
  <si>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</si>
  <si>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</si>
  <si>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</si>
  <si>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</si>
  <si>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</si>
  <si>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</si>
  <si>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</si>
  <si>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</si>
  <si>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</si>
  <si>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</si>
  <si>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</si>
  <si>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</si>
  <si>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</si>
  <si>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</si>
  <si>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</si>
  <si>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</si>
  <si>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</si>
  <si>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</si>
  <si>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</si>
  <si>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</si>
  <si>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</si>
  <si>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</si>
  <si>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</si>
  <si>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</si>
  <si>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</si>
  <si>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</si>
  <si>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</si>
  <si>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r>
      <t>Nº CUENTA BANCARIA FAA (BANCO SABADELL)</t>
    </r>
    <r>
      <rPr>
        <b/>
        <sz val="10"/>
        <color indexed="12"/>
        <rFont val="Tahoma"/>
        <family val="2"/>
      </rPr>
      <t xml:space="preserve"> </t>
    </r>
    <r>
      <rPr>
        <b/>
        <sz val="10"/>
        <color indexed="18"/>
        <rFont val="Tahoma"/>
        <family val="2"/>
      </rPr>
      <t>IBAN ES74</t>
    </r>
  </si>
  <si>
    <t>AGRUPACIÓN IV</t>
  </si>
  <si>
    <t>AGRUPACIÓN V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</si>
  <si>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</si>
  <si>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</si>
  <si>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</si>
  <si>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</si>
  <si>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</si>
  <si>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</si>
  <si>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</si>
  <si>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</si>
  <si>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 xml:space="preserve">Nombre Competidor </t>
  </si>
  <si>
    <t>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</t>
  </si>
  <si>
    <t>COMPETIDOR</t>
  </si>
  <si>
    <t>GRANADA</t>
  </si>
  <si>
    <t>CORDOBA</t>
  </si>
  <si>
    <t>Campeonato de Andalucia                                                       RALLYES 2017</t>
  </si>
  <si>
    <t>TROFEOS Y COPAS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</si>
  <si>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</si>
  <si>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</si>
  <si>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SA(2000,2005,2010) SAH (2010)                                                              </t>
    </r>
  </si>
  <si>
    <t>AGRUPACIÓN VI</t>
  </si>
  <si>
    <t>XI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</si>
  <si>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</si>
  <si>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</si>
  <si>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</si>
  <si>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</si>
  <si>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</si>
  <si>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</si>
  <si>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</si>
  <si>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</si>
  <si>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</si>
  <si>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</si>
  <si>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</si>
  <si>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</si>
  <si>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</si>
  <si>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</si>
  <si>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</si>
  <si>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</si>
  <si>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</si>
  <si>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</si>
  <si>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</si>
  <si>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</si>
  <si>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</si>
  <si>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</si>
  <si>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</si>
  <si>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</si>
  <si>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+3500</t>
  </si>
  <si>
    <t>XII</t>
  </si>
  <si>
    <t>XIII</t>
  </si>
  <si>
    <t>XIV</t>
  </si>
  <si>
    <t>Nº ITV HISTORICOS - F2000</t>
  </si>
  <si>
    <t>FEMINA (S/N)</t>
  </si>
  <si>
    <t>ESCUDERIA CLASICOS ALCALA</t>
  </si>
  <si>
    <t>ABEN-ZAYDE 2 BJ/PUB MARBELLA</t>
  </si>
  <si>
    <t>ALCALA LA REAL</t>
  </si>
  <si>
    <t>JAEN</t>
  </si>
  <si>
    <t>subidanoalejo@gmail.com</t>
  </si>
  <si>
    <t>ESC. MONTORO</t>
  </si>
  <si>
    <t>14600</t>
  </si>
  <si>
    <t>MONTORO</t>
  </si>
  <si>
    <t>escuderiamontoro@hotmail.com</t>
  </si>
  <si>
    <t>MALAGA</t>
  </si>
  <si>
    <t>AUTO CLUB VENTURI</t>
  </si>
  <si>
    <t>CALLE FRANCISCO DE HERRERA, 22</t>
  </si>
  <si>
    <t>CASARABONELA</t>
  </si>
  <si>
    <t>650 77 41 73</t>
  </si>
  <si>
    <t>subidacasarabonela@gmail.com</t>
  </si>
  <si>
    <t>ESC. CERRO DE LOS CAÑONES</t>
  </si>
  <si>
    <t>CALLE HUERTOS, 47 , BAJO</t>
  </si>
  <si>
    <t>18420</t>
  </si>
  <si>
    <t>LANJARÓN</t>
  </si>
  <si>
    <t>958 772 150</t>
  </si>
  <si>
    <t>A.C. EL EJIDO</t>
  </si>
  <si>
    <t>C/ SEVILLA , 10</t>
  </si>
  <si>
    <t>EL EJIDO</t>
  </si>
  <si>
    <t>automovilclubelejido@gmail.com</t>
  </si>
  <si>
    <t>ESCUDERIA DEL MARMOL</t>
  </si>
  <si>
    <t>CTRA. TAHAL</t>
  </si>
  <si>
    <t>04867 </t>
  </si>
  <si>
    <t>MACAEL</t>
  </si>
  <si>
    <t>escuderiadelmarmol@hotmail.com</t>
  </si>
  <si>
    <t>IV SUBIDA VILLA DE NOALEJO</t>
  </si>
  <si>
    <t>XX SUBIDA A MONTORO</t>
  </si>
  <si>
    <t>IV SUBIDA A CASARABONELA</t>
  </si>
  <si>
    <t>III SUBIDA A BERJA</t>
  </si>
  <si>
    <t>XLIV SUBIDA AL MARMOL</t>
  </si>
  <si>
    <t>18-19/05/2019</t>
  </si>
  <si>
    <t>1-2/06/2019</t>
  </si>
  <si>
    <t>29-30/6/2019</t>
  </si>
  <si>
    <t>21-22/09/2019</t>
  </si>
  <si>
    <t>26-27/10/2019</t>
  </si>
  <si>
    <t>AGRUPACIÓN VII</t>
  </si>
  <si>
    <t>AGRUPACIÓN VIII</t>
  </si>
  <si>
    <t>AGRUPACIÓN IX</t>
  </si>
  <si>
    <t>AGRUPACIÓN X</t>
  </si>
  <si>
    <t>AGRUPACIÓN XI</t>
  </si>
  <si>
    <t>AGRUPACIÓN XII</t>
  </si>
  <si>
    <t>AGRUPACIÓN XIV</t>
  </si>
  <si>
    <t>XXIV</t>
  </si>
  <si>
    <t>XXIII</t>
  </si>
  <si>
    <t>XVI</t>
  </si>
  <si>
    <t>XVII</t>
  </si>
  <si>
    <t>XVIII</t>
  </si>
  <si>
    <t>XIX</t>
  </si>
  <si>
    <t>AGRUPACIÓN XIII</t>
  </si>
  <si>
    <t>XXI</t>
  </si>
  <si>
    <t>XXII</t>
  </si>
  <si>
    <t>XX</t>
  </si>
  <si>
    <t xml:space="preserve">XV </t>
  </si>
  <si>
    <t>CILINDRADA</t>
  </si>
  <si>
    <t>MONTAÑA 2019 TROFEO CARCROSS</t>
  </si>
  <si>
    <t>CARCROSS</t>
  </si>
  <si>
    <t>inscripciones.subidalanjaron@gmail.com</t>
  </si>
  <si>
    <t>AVDA. DOCTOR FLEMING ,13   BAJO IZQUIERDA</t>
  </si>
  <si>
    <t>VI Subida al Cerro de los Cañones</t>
  </si>
  <si>
    <t>10-11/07/2021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</si>
</sst>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h:mm;@"/>
    <numFmt numFmtId="175" formatCode="_-* #,##0.00\ [$€]_-;\-* #,##0.00\ [$€]_-;_-* &quot;-&quot;??\ [$€]_-;_-@_-"/>
  </numFmts>
  <fonts count="91" x14ac:knownFonts="1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7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sz val="8"/>
      <color indexed="12"/>
      <name val="Arial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b/>
      <sz val="10"/>
      <color indexed="12"/>
      <name val="Tahoma"/>
      <family val="2"/>
    </font>
    <font>
      <b/>
      <sz val="10"/>
      <color indexed="18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b/>
      <sz val="9"/>
      <color rgb="FFDD080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6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0" xfId="0" applyNumberFormat="1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1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5" fillId="3" borderId="0" xfId="0" applyFont="1" applyFill="1" applyBorder="1" applyProtection="1">
      <protection locked="0"/>
    </xf>
    <xf numFmtId="0" fontId="28" fillId="0" borderId="16" xfId="0" applyFont="1" applyFill="1" applyBorder="1" applyAlignment="1" applyProtection="1">
      <alignment horizontal="center" vertical="center"/>
      <protection locked="0"/>
    </xf>
    <xf numFmtId="0" fontId="28" fillId="0" borderId="16" xfId="0" applyNumberFormat="1" applyFont="1" applyFill="1" applyBorder="1" applyAlignment="1" applyProtection="1">
      <alignment horizontal="center"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26" fillId="4" borderId="16" xfId="0" applyNumberFormat="1" applyFont="1" applyFill="1" applyBorder="1" applyAlignment="1" applyProtection="1">
      <alignment vertical="center"/>
    </xf>
    <xf numFmtId="165" fontId="31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2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horizontal="right"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32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2" fillId="6" borderId="5" xfId="0" applyFont="1" applyFill="1" applyBorder="1" applyAlignment="1" applyProtection="1">
      <alignment vertical="center"/>
      <protection hidden="1"/>
    </xf>
    <xf numFmtId="0" fontId="24" fillId="0" borderId="0" xfId="0" applyFont="1"/>
    <xf numFmtId="49" fontId="38" fillId="0" borderId="19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4" fillId="0" borderId="15" xfId="0" applyNumberFormat="1" applyFont="1" applyBorder="1" applyAlignment="1" applyProtection="1">
      <alignment horizontal="center" vertical="center"/>
      <protection hidden="1"/>
    </xf>
    <xf numFmtId="49" fontId="44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164" fontId="47" fillId="0" borderId="12" xfId="0" applyNumberFormat="1" applyFont="1" applyFill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4" fillId="6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4" fillId="4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51" fillId="0" borderId="0" xfId="0" applyFont="1"/>
    <xf numFmtId="0" fontId="24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2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vertical="center"/>
      <protection hidden="1"/>
    </xf>
    <xf numFmtId="0" fontId="24" fillId="8" borderId="0" xfId="0" applyFont="1" applyFill="1" applyAlignment="1">
      <alignment horizontal="center" vertical="center"/>
    </xf>
    <xf numFmtId="0" fontId="0" fillId="8" borderId="0" xfId="0" applyFill="1"/>
    <xf numFmtId="0" fontId="24" fillId="9" borderId="0" xfId="0" applyFont="1" applyFill="1" applyAlignment="1">
      <alignment vertical="center"/>
    </xf>
    <xf numFmtId="0" fontId="24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4" fillId="0" borderId="0" xfId="0" applyNumberFormat="1" applyFont="1" applyAlignment="1">
      <alignment vertical="center"/>
    </xf>
    <xf numFmtId="49" fontId="36" fillId="0" borderId="0" xfId="0" applyNumberFormat="1" applyFont="1"/>
    <xf numFmtId="0" fontId="36" fillId="0" borderId="0" xfId="0" applyNumberFormat="1" applyFont="1"/>
    <xf numFmtId="0" fontId="36" fillId="0" borderId="0" xfId="0" quotePrefix="1" applyNumberFormat="1" applyFont="1"/>
    <xf numFmtId="0" fontId="58" fillId="0" borderId="0" xfId="0" applyFont="1"/>
    <xf numFmtId="171" fontId="36" fillId="0" borderId="0" xfId="0" applyNumberFormat="1" applyFont="1"/>
    <xf numFmtId="174" fontId="36" fillId="0" borderId="0" xfId="0" applyNumberFormat="1" applyFont="1"/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3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0" fontId="24" fillId="9" borderId="0" xfId="0" applyFont="1" applyFill="1"/>
    <xf numFmtId="0" fontId="40" fillId="0" borderId="0" xfId="0" applyFont="1" applyFill="1" applyBorder="1" applyAlignment="1" applyProtection="1">
      <alignment vertical="center"/>
      <protection hidden="1"/>
    </xf>
    <xf numFmtId="0" fontId="40" fillId="0" borderId="21" xfId="0" applyFont="1" applyFill="1" applyBorder="1" applyAlignment="1" applyProtection="1">
      <alignment vertical="center"/>
      <protection hidden="1"/>
    </xf>
    <xf numFmtId="0" fontId="40" fillId="0" borderId="15" xfId="0" applyFont="1" applyFill="1" applyBorder="1" applyAlignment="1" applyProtection="1">
      <alignment vertical="center"/>
      <protection hidden="1"/>
    </xf>
    <xf numFmtId="0" fontId="40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48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50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9" fillId="0" borderId="2" xfId="0" applyFont="1" applyFill="1" applyBorder="1" applyAlignment="1" applyProtection="1">
      <alignment vertical="center"/>
    </xf>
    <xf numFmtId="1" fontId="42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4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6" fillId="0" borderId="0" xfId="0" applyNumberFormat="1" applyFont="1" applyBorder="1" applyAlignment="1" applyProtection="1">
      <alignment vertical="center"/>
      <protection hidden="1"/>
    </xf>
    <xf numFmtId="0" fontId="16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3" fillId="10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8" borderId="0" xfId="0" applyFont="1" applyFill="1" applyAlignment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57" fillId="0" borderId="7" xfId="0" applyNumberFormat="1" applyFont="1" applyBorder="1" applyAlignment="1" applyProtection="1">
      <alignment vertical="center"/>
      <protection hidden="1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8" fontId="73" fillId="0" borderId="0" xfId="0" applyNumberFormat="1" applyFont="1" applyBorder="1" applyAlignment="1" applyProtection="1">
      <alignment horizontal="center" vertical="center"/>
      <protection locked="0"/>
    </xf>
    <xf numFmtId="0" fontId="73" fillId="0" borderId="0" xfId="0" applyFont="1" applyBorder="1" applyAlignment="1" applyProtection="1">
      <alignment horizontal="center" vertical="center"/>
      <protection locked="0"/>
    </xf>
    <xf numFmtId="167" fontId="73" fillId="0" borderId="0" xfId="0" applyNumberFormat="1" applyFont="1" applyBorder="1" applyAlignment="1" applyProtection="1">
      <alignment horizontal="center" vertical="center"/>
      <protection locked="0"/>
    </xf>
    <xf numFmtId="0" fontId="73" fillId="0" borderId="0" xfId="0" applyNumberFormat="1" applyFont="1" applyBorder="1" applyAlignment="1" applyProtection="1">
      <alignment horizontal="center" vertical="center"/>
      <protection locked="0"/>
    </xf>
    <xf numFmtId="0" fontId="73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4" fillId="0" borderId="0" xfId="0" applyFont="1" applyBorder="1" applyAlignment="1">
      <alignment horizontal="left"/>
    </xf>
    <xf numFmtId="0" fontId="75" fillId="0" borderId="0" xfId="0" applyFont="1" applyBorder="1" applyAlignment="1" applyProtection="1">
      <alignment horizontal="left" vertical="center"/>
      <protection locked="0"/>
    </xf>
    <xf numFmtId="49" fontId="75" fillId="0" borderId="0" xfId="0" applyNumberFormat="1" applyFont="1" applyBorder="1" applyAlignment="1" applyProtection="1">
      <alignment horizontal="left" vertical="center"/>
      <protection locked="0"/>
    </xf>
    <xf numFmtId="0" fontId="75" fillId="0" borderId="0" xfId="0" quotePrefix="1" applyFont="1" applyBorder="1" applyAlignment="1" applyProtection="1">
      <alignment horizontal="left" vertical="center"/>
      <protection locked="0"/>
    </xf>
    <xf numFmtId="0" fontId="75" fillId="0" borderId="0" xfId="0" applyFont="1" applyBorder="1" applyAlignment="1">
      <alignment horizontal="left" vertical="center"/>
    </xf>
    <xf numFmtId="0" fontId="76" fillId="0" borderId="0" xfId="0" applyFont="1" applyBorder="1" applyAlignment="1">
      <alignment horizontal="left" vertical="center"/>
    </xf>
    <xf numFmtId="0" fontId="77" fillId="0" borderId="0" xfId="2" applyFont="1" applyBorder="1" applyAlignment="1" applyProtection="1">
      <alignment horizontal="left" vertical="center"/>
      <protection locked="0"/>
    </xf>
    <xf numFmtId="0" fontId="78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164" fontId="75" fillId="0" borderId="0" xfId="0" applyNumberFormat="1" applyFont="1" applyBorder="1" applyAlignment="1" applyProtection="1">
      <alignment horizontal="left" vertical="center"/>
      <protection hidden="1"/>
    </xf>
    <xf numFmtId="0" fontId="77" fillId="0" borderId="0" xfId="2" applyFont="1" applyBorder="1" applyAlignment="1" applyProtection="1">
      <alignment horizontal="left" wrapText="1"/>
    </xf>
    <xf numFmtId="0" fontId="6" fillId="0" borderId="0" xfId="0" applyFont="1" applyAlignment="1">
      <alignment horizontal="left" vertical="center"/>
    </xf>
    <xf numFmtId="171" fontId="75" fillId="0" borderId="0" xfId="0" applyNumberFormat="1" applyFont="1" applyBorder="1" applyAlignment="1">
      <alignment horizontal="center"/>
    </xf>
    <xf numFmtId="171" fontId="75" fillId="0" borderId="0" xfId="0" applyNumberFormat="1" applyFont="1" applyBorder="1" applyAlignment="1" applyProtection="1">
      <alignment horizontal="center" vertical="center"/>
      <protection locked="0"/>
    </xf>
    <xf numFmtId="0" fontId="79" fillId="3" borderId="0" xfId="0" applyFont="1" applyFill="1" applyBorder="1" applyProtection="1"/>
    <xf numFmtId="0" fontId="80" fillId="0" borderId="0" xfId="0" applyFont="1" applyBorder="1" applyAlignment="1" applyProtection="1">
      <alignment vertical="center" wrapText="1"/>
      <protection hidden="1"/>
    </xf>
    <xf numFmtId="0" fontId="80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80" fillId="0" borderId="28" xfId="0" applyFont="1" applyBorder="1" applyAlignment="1" applyProtection="1">
      <alignment vertical="center" wrapText="1"/>
      <protection hidden="1"/>
    </xf>
    <xf numFmtId="0" fontId="80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0" fillId="0" borderId="0" xfId="2" applyAlignment="1" applyProtection="1"/>
    <xf numFmtId="0" fontId="20" fillId="0" borderId="0" xfId="2" applyBorder="1" applyAlignment="1" applyProtection="1">
      <alignment horizontal="left" wrapText="1"/>
    </xf>
    <xf numFmtId="164" fontId="75" fillId="0" borderId="0" xfId="0" applyNumberFormat="1" applyFont="1" applyBorder="1" applyAlignment="1" applyProtection="1">
      <alignment horizontal="left"/>
      <protection hidden="1"/>
    </xf>
    <xf numFmtId="0" fontId="75" fillId="0" borderId="0" xfId="0" applyFont="1" applyBorder="1" applyAlignment="1">
      <alignment horizontal="left"/>
    </xf>
    <xf numFmtId="0" fontId="75" fillId="0" borderId="0" xfId="0" applyFont="1" applyAlignment="1">
      <alignment horizontal="left" vertical="center"/>
    </xf>
    <xf numFmtId="0" fontId="84" fillId="0" borderId="16" xfId="0" applyFont="1" applyBorder="1" applyAlignment="1">
      <alignment horizontal="center" vertical="center" wrapText="1"/>
    </xf>
    <xf numFmtId="1" fontId="84" fillId="0" borderId="16" xfId="0" applyNumberFormat="1" applyFont="1" applyBorder="1" applyAlignment="1">
      <alignment horizontal="center" vertical="center" wrapText="1"/>
    </xf>
    <xf numFmtId="0" fontId="84" fillId="0" borderId="16" xfId="0" applyFont="1" applyBorder="1" applyAlignment="1">
      <alignment horizontal="left" vertical="center" wrapText="1"/>
    </xf>
    <xf numFmtId="0" fontId="84" fillId="0" borderId="0" xfId="0" applyFont="1" applyAlignment="1">
      <alignment horizontal="center" vertical="center" wrapText="1"/>
    </xf>
    <xf numFmtId="14" fontId="0" fillId="0" borderId="0" xfId="0" applyNumberFormat="1"/>
    <xf numFmtId="0" fontId="24" fillId="8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75" fillId="0" borderId="0" xfId="0" applyFont="1" applyAlignment="1" applyProtection="1">
      <alignment horizontal="left" vertical="center"/>
      <protection locked="0"/>
    </xf>
    <xf numFmtId="0" fontId="76" fillId="0" borderId="0" xfId="0" applyFont="1" applyAlignment="1">
      <alignment horizontal="left"/>
    </xf>
    <xf numFmtId="49" fontId="75" fillId="0" borderId="0" xfId="0" applyNumberFormat="1" applyFont="1" applyAlignment="1" applyProtection="1">
      <alignment horizontal="left" vertical="center"/>
      <protection locked="0"/>
    </xf>
    <xf numFmtId="0" fontId="75" fillId="0" borderId="0" xfId="0" quotePrefix="1" applyFont="1" applyAlignment="1" applyProtection="1">
      <alignment horizontal="left" vertical="center"/>
      <protection locked="0"/>
    </xf>
    <xf numFmtId="0" fontId="77" fillId="0" borderId="0" xfId="2" applyFont="1" applyAlignment="1">
      <alignment horizontal="left" vertical="center"/>
      <protection locked="0"/>
    </xf>
    <xf numFmtId="168" fontId="75" fillId="0" borderId="0" xfId="0" applyNumberFormat="1" applyFont="1" applyAlignment="1" applyProtection="1">
      <alignment horizontal="left" vertical="center"/>
      <protection locked="0"/>
    </xf>
    <xf numFmtId="0" fontId="75" fillId="0" borderId="0" xfId="0" applyFont="1" applyAlignment="1">
      <alignment horizontal="left"/>
    </xf>
    <xf numFmtId="0" fontId="74" fillId="0" borderId="0" xfId="0" applyFont="1" applyAlignment="1">
      <alignment horizontal="left"/>
    </xf>
    <xf numFmtId="3" fontId="75" fillId="0" borderId="0" xfId="0" applyNumberFormat="1" applyFont="1" applyAlignment="1" applyProtection="1">
      <alignment horizontal="left" vertical="center"/>
      <protection locked="0"/>
    </xf>
    <xf numFmtId="0" fontId="20" fillId="0" borderId="0" xfId="2" applyAlignment="1">
      <alignment horizontal="left" vertical="center"/>
      <protection locked="0"/>
    </xf>
    <xf numFmtId="4" fontId="75" fillId="0" borderId="0" xfId="0" applyNumberFormat="1" applyFont="1" applyAlignment="1" applyProtection="1">
      <alignment horizontal="left" vertical="center"/>
      <protection locked="0"/>
    </xf>
    <xf numFmtId="0" fontId="89" fillId="0" borderId="0" xfId="0" applyFont="1" applyAlignment="1">
      <alignment horizontal="left"/>
    </xf>
    <xf numFmtId="0" fontId="20" fillId="0" borderId="0" xfId="2" applyAlignment="1" applyProtection="1">
      <alignment horizontal="left"/>
    </xf>
    <xf numFmtId="0" fontId="90" fillId="0" borderId="0" xfId="0" applyFont="1" applyAlignment="1">
      <alignment horizontal="left" wrapText="1"/>
    </xf>
    <xf numFmtId="0" fontId="76" fillId="0" borderId="0" xfId="0" applyFont="1" applyAlignment="1">
      <alignment horizontal="left" vertical="center"/>
    </xf>
    <xf numFmtId="0" fontId="20" fillId="0" borderId="0" xfId="2" applyAlignment="1" applyProtection="1">
      <alignment horizontal="left" vertical="center"/>
    </xf>
    <xf numFmtId="0" fontId="24" fillId="16" borderId="0" xfId="0" applyFont="1" applyFill="1"/>
    <xf numFmtId="0" fontId="73" fillId="9" borderId="0" xfId="0" applyFont="1" applyFill="1" applyAlignment="1">
      <alignment horizontal="center" vertical="center"/>
    </xf>
    <xf numFmtId="1" fontId="73" fillId="9" borderId="0" xfId="0" applyNumberFormat="1" applyFont="1" applyFill="1" applyAlignment="1">
      <alignment horizontal="center" vertical="center"/>
    </xf>
    <xf numFmtId="1" fontId="73" fillId="9" borderId="0" xfId="0" applyNumberFormat="1" applyFont="1" applyFill="1" applyAlignment="1">
      <alignment horizontal="center"/>
    </xf>
    <xf numFmtId="0" fontId="73" fillId="9" borderId="0" xfId="0" applyFont="1" applyFill="1"/>
    <xf numFmtId="0" fontId="73" fillId="9" borderId="0" xfId="0" applyFont="1" applyFill="1" applyAlignment="1">
      <alignment horizontal="center"/>
    </xf>
    <xf numFmtId="0" fontId="73" fillId="9" borderId="0" xfId="0" applyNumberFormat="1" applyFont="1" applyFill="1" applyAlignment="1">
      <alignment horizontal="center" vertical="center"/>
    </xf>
    <xf numFmtId="0" fontId="73" fillId="16" borderId="0" xfId="0" applyFont="1" applyFill="1"/>
    <xf numFmtId="0" fontId="73" fillId="0" borderId="0" xfId="0" applyFont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6" fillId="0" borderId="41" xfId="0" applyFont="1" applyBorder="1" applyAlignment="1" applyProtection="1">
      <alignment horizontal="center" vertical="center"/>
      <protection hidden="1"/>
    </xf>
    <xf numFmtId="0" fontId="16" fillId="0" borderId="42" xfId="0" applyFont="1" applyBorder="1" applyAlignment="1" applyProtection="1">
      <alignment horizontal="center" vertical="center"/>
      <protection hidden="1"/>
    </xf>
    <xf numFmtId="0" fontId="16" fillId="0" borderId="43" xfId="0" applyFont="1" applyBorder="1" applyAlignment="1" applyProtection="1">
      <alignment horizontal="center" vertical="center"/>
      <protection hidden="1"/>
    </xf>
    <xf numFmtId="0" fontId="16" fillId="0" borderId="26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6" fillId="0" borderId="27" xfId="0" applyFont="1" applyBorder="1" applyAlignment="1" applyProtection="1">
      <alignment horizontal="center" vertical="center"/>
      <protection hidden="1"/>
    </xf>
    <xf numFmtId="0" fontId="16" fillId="0" borderId="28" xfId="0" applyFont="1" applyBorder="1" applyAlignment="1" applyProtection="1">
      <alignment horizontal="center" vertical="center"/>
      <protection hidden="1"/>
    </xf>
    <xf numFmtId="0" fontId="16" fillId="0" borderId="29" xfId="0" applyFont="1" applyBorder="1" applyAlignment="1" applyProtection="1">
      <alignment horizontal="center" vertical="center"/>
      <protection hidden="1"/>
    </xf>
    <xf numFmtId="0" fontId="16" fillId="0" borderId="30" xfId="0" applyFont="1" applyBorder="1" applyAlignment="1" applyProtection="1">
      <alignment horizontal="center" vertical="center"/>
      <protection hidden="1"/>
    </xf>
    <xf numFmtId="169" fontId="19" fillId="0" borderId="13" xfId="0" applyNumberFormat="1" applyFont="1" applyBorder="1" applyAlignment="1" applyProtection="1">
      <alignment horizontal="center" vertical="center"/>
      <protection hidden="1"/>
    </xf>
    <xf numFmtId="169" fontId="19" fillId="0" borderId="7" xfId="0" applyNumberFormat="1" applyFont="1" applyBorder="1" applyAlignment="1" applyProtection="1">
      <alignment horizontal="center" vertical="center"/>
      <protection hidden="1"/>
    </xf>
    <xf numFmtId="169" fontId="19" fillId="0" borderId="10" xfId="0" applyNumberFormat="1" applyFont="1" applyBorder="1" applyAlignment="1" applyProtection="1">
      <alignment horizontal="center" vertical="center"/>
      <protection hidden="1"/>
    </xf>
    <xf numFmtId="169" fontId="19" fillId="0" borderId="1" xfId="0" applyNumberFormat="1" applyFont="1" applyBorder="1" applyAlignment="1" applyProtection="1">
      <alignment horizontal="center" vertical="center"/>
      <protection hidden="1"/>
    </xf>
    <xf numFmtId="169" fontId="19" fillId="0" borderId="0" xfId="0" applyNumberFormat="1" applyFont="1" applyBorder="1" applyAlignment="1" applyProtection="1">
      <alignment horizontal="center" vertical="center"/>
      <protection hidden="1"/>
    </xf>
    <xf numFmtId="169" fontId="19" fillId="0" borderId="2" xfId="0" applyNumberFormat="1" applyFont="1" applyBorder="1" applyAlignment="1" applyProtection="1">
      <alignment horizontal="center" vertical="center"/>
      <protection hidden="1"/>
    </xf>
    <xf numFmtId="169" fontId="19" fillId="0" borderId="21" xfId="0" applyNumberFormat="1" applyFont="1" applyBorder="1" applyAlignment="1" applyProtection="1">
      <alignment horizontal="center" vertical="center"/>
      <protection hidden="1"/>
    </xf>
    <xf numFmtId="169" fontId="19" fillId="0" borderId="15" xfId="0" applyNumberFormat="1" applyFont="1" applyBorder="1" applyAlignment="1" applyProtection="1">
      <alignment horizontal="center" vertical="center"/>
      <protection hidden="1"/>
    </xf>
    <xf numFmtId="169" fontId="19" fillId="0" borderId="17" xfId="0" applyNumberFormat="1" applyFont="1" applyBorder="1" applyAlignment="1" applyProtection="1">
      <alignment horizontal="center" vertical="center"/>
      <protection hidden="1"/>
    </xf>
    <xf numFmtId="14" fontId="40" fillId="0" borderId="3" xfId="0" applyNumberFormat="1" applyFont="1" applyBorder="1" applyAlignment="1" applyProtection="1">
      <alignment horizontal="center" vertical="center" wrapText="1"/>
      <protection hidden="1"/>
    </xf>
    <xf numFmtId="14" fontId="40" fillId="0" borderId="5" xfId="0" applyNumberFormat="1" applyFont="1" applyBorder="1" applyAlignment="1" applyProtection="1">
      <alignment horizontal="center" vertical="center" wrapText="1"/>
      <protection hidden="1"/>
    </xf>
    <xf numFmtId="14" fontId="40" fillId="0" borderId="34" xfId="0" applyNumberFormat="1" applyFont="1" applyBorder="1" applyAlignment="1" applyProtection="1">
      <alignment horizontal="center" vertical="center" wrapText="1"/>
      <protection hidden="1"/>
    </xf>
    <xf numFmtId="14" fontId="40" fillId="0" borderId="31" xfId="0" applyNumberFormat="1" applyFont="1" applyBorder="1" applyAlignment="1" applyProtection="1">
      <alignment horizontal="center" vertical="center" wrapText="1"/>
      <protection hidden="1"/>
    </xf>
    <xf numFmtId="14" fontId="40" fillId="0" borderId="12" xfId="0" applyNumberFormat="1" applyFont="1" applyBorder="1" applyAlignment="1" applyProtection="1">
      <alignment horizontal="center" vertical="center" wrapText="1"/>
      <protection hidden="1"/>
    </xf>
    <xf numFmtId="14" fontId="40" fillId="0" borderId="37" xfId="0" applyNumberFormat="1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/>
      <protection hidden="1"/>
    </xf>
    <xf numFmtId="0" fontId="48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49" fontId="48" fillId="0" borderId="11" xfId="0" applyNumberFormat="1" applyFont="1" applyBorder="1" applyAlignment="1" applyProtection="1">
      <alignment horizontal="center" vertical="center"/>
      <protection hidden="1"/>
    </xf>
    <xf numFmtId="49" fontId="48" fillId="0" borderId="0" xfId="0" applyNumberFormat="1" applyFont="1" applyBorder="1" applyAlignment="1" applyProtection="1">
      <alignment horizontal="center" vertical="center"/>
      <protection hidden="1"/>
    </xf>
    <xf numFmtId="49" fontId="48" fillId="0" borderId="6" xfId="0" applyNumberFormat="1" applyFont="1" applyBorder="1" applyAlignment="1" applyProtection="1">
      <alignment horizontal="center" vertical="center"/>
      <protection hidden="1"/>
    </xf>
    <xf numFmtId="49" fontId="48" fillId="0" borderId="36" xfId="0" applyNumberFormat="1" applyFont="1" applyBorder="1" applyAlignment="1" applyProtection="1">
      <alignment horizontal="center" vertical="center"/>
      <protection hidden="1"/>
    </xf>
    <xf numFmtId="49" fontId="48" fillId="0" borderId="15" xfId="0" applyNumberFormat="1" applyFont="1" applyBorder="1" applyAlignment="1" applyProtection="1">
      <alignment horizontal="center" vertical="center"/>
      <protection hidden="1"/>
    </xf>
    <xf numFmtId="49" fontId="48" fillId="0" borderId="35" xfId="0" applyNumberFormat="1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64" fontId="68" fillId="0" borderId="16" xfId="0" applyNumberFormat="1" applyFont="1" applyBorder="1" applyAlignment="1" applyProtection="1">
      <alignment horizontal="center" vertical="center"/>
      <protection hidden="1"/>
    </xf>
    <xf numFmtId="0" fontId="68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61" fillId="2" borderId="32" xfId="0" applyFont="1" applyFill="1" applyBorder="1" applyAlignment="1" applyProtection="1">
      <alignment horizontal="left" vertical="center"/>
      <protection hidden="1"/>
    </xf>
    <xf numFmtId="0" fontId="61" fillId="2" borderId="23" xfId="0" applyFont="1" applyFill="1" applyBorder="1" applyAlignment="1" applyProtection="1">
      <alignment horizontal="left" vertical="center"/>
      <protection hidden="1"/>
    </xf>
    <xf numFmtId="0" fontId="61" fillId="2" borderId="33" xfId="0" applyFont="1" applyFill="1" applyBorder="1" applyAlignment="1" applyProtection="1">
      <alignment horizontal="left" vertical="center"/>
      <protection hidden="1"/>
    </xf>
    <xf numFmtId="0" fontId="21" fillId="2" borderId="32" xfId="0" applyFont="1" applyFill="1" applyBorder="1" applyAlignment="1" applyProtection="1">
      <alignment horizontal="center" vertical="center"/>
      <protection locked="0" hidden="1"/>
    </xf>
    <xf numFmtId="0" fontId="21" fillId="2" borderId="23" xfId="0" applyFont="1" applyFill="1" applyBorder="1" applyAlignment="1" applyProtection="1">
      <alignment horizontal="center" vertical="center"/>
      <protection locked="0" hidden="1"/>
    </xf>
    <xf numFmtId="0" fontId="21" fillId="2" borderId="33" xfId="0" applyFont="1" applyFill="1" applyBorder="1" applyAlignment="1" applyProtection="1">
      <alignment horizontal="center" vertical="center"/>
      <protection locked="0"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53" fillId="0" borderId="18" xfId="0" applyFont="1" applyBorder="1" applyAlignment="1" applyProtection="1">
      <alignment horizontal="center" vertical="center"/>
      <protection hidden="1"/>
    </xf>
    <xf numFmtId="0" fontId="53" fillId="0" borderId="5" xfId="0" applyFont="1" applyBorder="1" applyAlignment="1" applyProtection="1">
      <alignment horizontal="center" vertical="center"/>
      <protection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9" fillId="0" borderId="9" xfId="0" applyNumberFormat="1" applyFont="1" applyBorder="1" applyAlignment="1" applyProtection="1">
      <alignment horizontal="center" vertical="center"/>
      <protection hidden="1"/>
    </xf>
    <xf numFmtId="170" fontId="39" fillId="0" borderId="7" xfId="0" applyNumberFormat="1" applyFont="1" applyBorder="1" applyAlignment="1" applyProtection="1">
      <alignment horizontal="center" vertical="center"/>
      <protection hidden="1"/>
    </xf>
    <xf numFmtId="170" fontId="39" fillId="0" borderId="10" xfId="0" applyNumberFormat="1" applyFont="1" applyBorder="1" applyAlignment="1" applyProtection="1">
      <alignment horizontal="center" vertical="center"/>
      <protection hidden="1"/>
    </xf>
    <xf numFmtId="170" fontId="39" fillId="0" borderId="11" xfId="0" applyNumberFormat="1" applyFont="1" applyBorder="1" applyAlignment="1" applyProtection="1">
      <alignment horizontal="center" vertical="center"/>
      <protection hidden="1"/>
    </xf>
    <xf numFmtId="170" fontId="39" fillId="0" borderId="0" xfId="0" applyNumberFormat="1" applyFont="1" applyBorder="1" applyAlignment="1" applyProtection="1">
      <alignment horizontal="center" vertical="center"/>
      <protection hidden="1"/>
    </xf>
    <xf numFmtId="170" fontId="39" fillId="0" borderId="2" xfId="0" applyNumberFormat="1" applyFont="1" applyBorder="1" applyAlignment="1" applyProtection="1">
      <alignment horizontal="center" vertical="center"/>
      <protection hidden="1"/>
    </xf>
    <xf numFmtId="170" fontId="39" fillId="0" borderId="36" xfId="0" applyNumberFormat="1" applyFont="1" applyBorder="1" applyAlignment="1" applyProtection="1">
      <alignment horizontal="center" vertical="center"/>
      <protection hidden="1"/>
    </xf>
    <xf numFmtId="170" fontId="39" fillId="0" borderId="15" xfId="0" applyNumberFormat="1" applyFont="1" applyBorder="1" applyAlignment="1" applyProtection="1">
      <alignment horizontal="center" vertical="center"/>
      <protection hidden="1"/>
    </xf>
    <xf numFmtId="170" fontId="39" fillId="0" borderId="17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40" fillId="0" borderId="12" xfId="0" applyFont="1" applyBorder="1" applyAlignment="1" applyProtection="1">
      <alignment horizontal="center" vertical="center" wrapText="1"/>
      <protection hidden="1"/>
    </xf>
    <xf numFmtId="0" fontId="40" fillId="0" borderId="3" xfId="0" applyFont="1" applyBorder="1" applyAlignment="1" applyProtection="1">
      <alignment horizontal="center" vertical="center" wrapText="1"/>
      <protection hidden="1"/>
    </xf>
    <xf numFmtId="0" fontId="40" fillId="0" borderId="4" xfId="0" applyFont="1" applyBorder="1" applyAlignment="1" applyProtection="1">
      <alignment horizontal="center" vertical="center" wrapText="1"/>
      <protection hidden="1"/>
    </xf>
    <xf numFmtId="0" fontId="40" fillId="0" borderId="37" xfId="0" applyFont="1" applyBorder="1" applyAlignment="1" applyProtection="1">
      <alignment horizontal="center" vertical="center" wrapText="1"/>
      <protection hidden="1"/>
    </xf>
    <xf numFmtId="0" fontId="40" fillId="0" borderId="34" xfId="0" applyFont="1" applyBorder="1" applyAlignment="1" applyProtection="1">
      <alignment horizontal="center" vertical="center" wrapText="1"/>
      <protection hidden="1"/>
    </xf>
    <xf numFmtId="0" fontId="40" fillId="0" borderId="45" xfId="0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85" fillId="0" borderId="0" xfId="0" applyFont="1" applyBorder="1" applyAlignment="1" applyProtection="1">
      <alignment horizontal="center" vertical="center" wrapText="1"/>
      <protection hidden="1"/>
    </xf>
    <xf numFmtId="0" fontId="81" fillId="0" borderId="41" xfId="0" applyFont="1" applyBorder="1" applyAlignment="1" applyProtection="1">
      <alignment horizontal="center" vertical="center" wrapText="1"/>
      <protection hidden="1"/>
    </xf>
    <xf numFmtId="0" fontId="81" fillId="0" borderId="42" xfId="0" applyFont="1" applyBorder="1" applyAlignment="1" applyProtection="1">
      <alignment horizontal="center" vertical="center" wrapText="1"/>
      <protection hidden="1"/>
    </xf>
    <xf numFmtId="0" fontId="81" fillId="0" borderId="43" xfId="0" applyFont="1" applyBorder="1" applyAlignment="1" applyProtection="1">
      <alignment horizontal="center" vertical="center" wrapText="1"/>
      <protection hidden="1"/>
    </xf>
    <xf numFmtId="0" fontId="81" fillId="0" borderId="26" xfId="0" applyFont="1" applyBorder="1" applyAlignment="1" applyProtection="1">
      <alignment horizontal="center" vertical="center" wrapText="1"/>
      <protection hidden="1"/>
    </xf>
    <xf numFmtId="0" fontId="81" fillId="0" borderId="0" xfId="0" applyFont="1" applyBorder="1" applyAlignment="1" applyProtection="1">
      <alignment horizontal="center" vertical="center" wrapText="1"/>
      <protection hidden="1"/>
    </xf>
    <xf numFmtId="0" fontId="81" fillId="0" borderId="27" xfId="0" applyFont="1" applyBorder="1" applyAlignment="1" applyProtection="1">
      <alignment horizontal="center" vertical="center" wrapText="1"/>
      <protection hidden="1"/>
    </xf>
    <xf numFmtId="49" fontId="43" fillId="0" borderId="49" xfId="0" applyNumberFormat="1" applyFont="1" applyBorder="1" applyAlignment="1" applyProtection="1">
      <alignment horizontal="center" vertical="center"/>
      <protection locked="0" hidden="1"/>
    </xf>
    <xf numFmtId="49" fontId="43" fillId="0" borderId="50" xfId="0" applyNumberFormat="1" applyFont="1" applyBorder="1" applyAlignment="1" applyProtection="1">
      <alignment horizontal="center" vertical="center"/>
      <protection locked="0" hidden="1"/>
    </xf>
    <xf numFmtId="0" fontId="61" fillId="2" borderId="16" xfId="0" applyFont="1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6" fillId="0" borderId="16" xfId="0" applyNumberFormat="1" applyFont="1" applyBorder="1" applyAlignment="1" applyProtection="1">
      <alignment horizontal="center" vertical="center"/>
      <protection hidden="1"/>
    </xf>
    <xf numFmtId="0" fontId="66" fillId="11" borderId="16" xfId="0" applyFont="1" applyFill="1" applyBorder="1" applyAlignment="1" applyProtection="1">
      <alignment horizontal="center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70" fillId="5" borderId="1" xfId="0" applyNumberFormat="1" applyFont="1" applyFill="1" applyBorder="1" applyAlignment="1" applyProtection="1">
      <alignment horizontal="center" vertical="center"/>
      <protection hidden="1"/>
    </xf>
    <xf numFmtId="1" fontId="70" fillId="5" borderId="0" xfId="0" applyNumberFormat="1" applyFont="1" applyFill="1" applyBorder="1" applyAlignment="1" applyProtection="1">
      <alignment horizontal="center" vertical="center"/>
      <protection hidden="1"/>
    </xf>
    <xf numFmtId="1" fontId="70" fillId="5" borderId="2" xfId="0" applyNumberFormat="1" applyFont="1" applyFill="1" applyBorder="1" applyAlignment="1" applyProtection="1">
      <alignment horizontal="center" vertical="center"/>
      <protection hidden="1"/>
    </xf>
    <xf numFmtId="1" fontId="70" fillId="5" borderId="21" xfId="0" applyNumberFormat="1" applyFont="1" applyFill="1" applyBorder="1" applyAlignment="1" applyProtection="1">
      <alignment horizontal="center" vertical="center"/>
      <protection hidden="1"/>
    </xf>
    <xf numFmtId="1" fontId="70" fillId="5" borderId="15" xfId="0" applyNumberFormat="1" applyFont="1" applyFill="1" applyBorder="1" applyAlignment="1" applyProtection="1">
      <alignment horizontal="center" vertical="center"/>
      <protection hidden="1"/>
    </xf>
    <xf numFmtId="1" fontId="70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0" borderId="37" xfId="0" applyFont="1" applyBorder="1" applyAlignment="1" applyProtection="1">
      <alignment horizontal="center" vertical="center"/>
      <protection hidden="1"/>
    </xf>
    <xf numFmtId="0" fontId="16" fillId="0" borderId="34" xfId="0" applyFont="1" applyBorder="1" applyAlignment="1" applyProtection="1">
      <alignment horizontal="center" vertical="center"/>
      <protection hidden="1"/>
    </xf>
    <xf numFmtId="0" fontId="16" fillId="0" borderId="31" xfId="0" applyFont="1" applyBorder="1" applyAlignment="1" applyProtection="1">
      <alignment horizontal="center" vertical="center"/>
      <protection hidden="1"/>
    </xf>
    <xf numFmtId="0" fontId="16" fillId="0" borderId="38" xfId="0" applyFont="1" applyBorder="1" applyAlignment="1" applyProtection="1">
      <alignment horizontal="center" vertical="center"/>
      <protection hidden="1"/>
    </xf>
    <xf numFmtId="0" fontId="16" fillId="0" borderId="39" xfId="0" applyFont="1" applyBorder="1" applyAlignment="1" applyProtection="1">
      <alignment horizontal="center" vertical="center"/>
      <protection hidden="1"/>
    </xf>
    <xf numFmtId="0" fontId="16" fillId="0" borderId="40" xfId="0" applyFont="1" applyBorder="1" applyAlignment="1" applyProtection="1">
      <alignment horizontal="center" vertical="center"/>
      <protection hidden="1"/>
    </xf>
    <xf numFmtId="168" fontId="50" fillId="0" borderId="37" xfId="0" applyNumberFormat="1" applyFont="1" applyBorder="1" applyAlignment="1" applyProtection="1">
      <alignment horizontal="center" vertical="center"/>
      <protection hidden="1"/>
    </xf>
    <xf numFmtId="168" fontId="50" fillId="0" borderId="34" xfId="0" applyNumberFormat="1" applyFont="1" applyBorder="1" applyAlignment="1" applyProtection="1">
      <alignment horizontal="center" vertical="center"/>
      <protection hidden="1"/>
    </xf>
    <xf numFmtId="168" fontId="50" fillId="0" borderId="31" xfId="0" applyNumberFormat="1" applyFont="1" applyBorder="1" applyAlignment="1" applyProtection="1">
      <alignment horizontal="center" vertical="center"/>
      <protection hidden="1"/>
    </xf>
    <xf numFmtId="168" fontId="50" fillId="0" borderId="38" xfId="0" applyNumberFormat="1" applyFont="1" applyBorder="1" applyAlignment="1" applyProtection="1">
      <alignment horizontal="center" vertical="center"/>
      <protection hidden="1"/>
    </xf>
    <xf numFmtId="168" fontId="50" fillId="0" borderId="39" xfId="0" applyNumberFormat="1" applyFont="1" applyBorder="1" applyAlignment="1" applyProtection="1">
      <alignment horizontal="center" vertical="center"/>
      <protection hidden="1"/>
    </xf>
    <xf numFmtId="168" fontId="50" fillId="0" borderId="40" xfId="0" applyNumberFormat="1" applyFont="1" applyBorder="1" applyAlignment="1" applyProtection="1">
      <alignment horizontal="center" vertical="center"/>
      <protection hidden="1"/>
    </xf>
    <xf numFmtId="0" fontId="61" fillId="2" borderId="41" xfId="0" applyFont="1" applyFill="1" applyBorder="1" applyAlignment="1" applyProtection="1">
      <alignment horizontal="center" vertical="center"/>
      <protection hidden="1"/>
    </xf>
    <xf numFmtId="0" fontId="61" fillId="2" borderId="42" xfId="0" applyFont="1" applyFill="1" applyBorder="1" applyAlignment="1" applyProtection="1">
      <alignment horizontal="center" vertical="center"/>
      <protection hidden="1"/>
    </xf>
    <xf numFmtId="0" fontId="61" fillId="2" borderId="43" xfId="0" applyFont="1" applyFill="1" applyBorder="1" applyAlignment="1" applyProtection="1">
      <alignment horizontal="center" vertical="center"/>
      <protection hidden="1"/>
    </xf>
    <xf numFmtId="0" fontId="61" fillId="2" borderId="28" xfId="0" applyFont="1" applyFill="1" applyBorder="1" applyAlignment="1" applyProtection="1">
      <alignment horizontal="center" vertical="center"/>
      <protection hidden="1"/>
    </xf>
    <xf numFmtId="0" fontId="61" fillId="2" borderId="29" xfId="0" applyFont="1" applyFill="1" applyBorder="1" applyAlignment="1" applyProtection="1">
      <alignment horizontal="center" vertical="center"/>
      <protection hidden="1"/>
    </xf>
    <xf numFmtId="0" fontId="61" fillId="2" borderId="30" xfId="0" applyFont="1" applyFill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66" fillId="11" borderId="12" xfId="0" applyFont="1" applyFill="1" applyBorder="1" applyAlignment="1" applyProtection="1">
      <alignment horizontal="center" vertical="center" wrapText="1" readingOrder="1"/>
      <protection hidden="1"/>
    </xf>
    <xf numFmtId="0" fontId="66" fillId="11" borderId="3" xfId="0" applyFont="1" applyFill="1" applyBorder="1" applyAlignment="1" applyProtection="1">
      <alignment horizontal="center" vertical="center" wrapText="1" readingOrder="1"/>
      <protection hidden="1"/>
    </xf>
    <xf numFmtId="0" fontId="66" fillId="11" borderId="5" xfId="0" applyFont="1" applyFill="1" applyBorder="1" applyAlignment="1" applyProtection="1">
      <alignment horizontal="center" vertical="center" wrapText="1" readingOrder="1"/>
      <protection hidden="1"/>
    </xf>
    <xf numFmtId="0" fontId="66" fillId="11" borderId="1" xfId="0" applyFont="1" applyFill="1" applyBorder="1" applyAlignment="1" applyProtection="1">
      <alignment horizontal="center" vertical="center" wrapText="1" readingOrder="1"/>
      <protection hidden="1"/>
    </xf>
    <xf numFmtId="0" fontId="66" fillId="11" borderId="0" xfId="0" applyFont="1" applyFill="1" applyBorder="1" applyAlignment="1" applyProtection="1">
      <alignment horizontal="center" vertical="center" wrapText="1" readingOrder="1"/>
      <protection hidden="1"/>
    </xf>
    <xf numFmtId="0" fontId="66" fillId="11" borderId="2" xfId="0" applyFont="1" applyFill="1" applyBorder="1" applyAlignment="1" applyProtection="1">
      <alignment horizontal="center" vertical="center" wrapText="1" readingOrder="1"/>
      <protection hidden="1"/>
    </xf>
    <xf numFmtId="0" fontId="66" fillId="11" borderId="21" xfId="0" applyFont="1" applyFill="1" applyBorder="1" applyAlignment="1" applyProtection="1">
      <alignment horizontal="center" vertical="center" wrapText="1" readingOrder="1"/>
      <protection hidden="1"/>
    </xf>
    <xf numFmtId="0" fontId="66" fillId="11" borderId="15" xfId="0" applyFont="1" applyFill="1" applyBorder="1" applyAlignment="1" applyProtection="1">
      <alignment horizontal="center" vertical="center" wrapText="1" readingOrder="1"/>
      <protection hidden="1"/>
    </xf>
    <xf numFmtId="0" fontId="66" fillId="11" borderId="17" xfId="0" applyFont="1" applyFill="1" applyBorder="1" applyAlignment="1" applyProtection="1">
      <alignment horizontal="center" vertical="center" wrapText="1" readingOrder="1"/>
      <protection hidden="1"/>
    </xf>
    <xf numFmtId="0" fontId="30" fillId="11" borderId="32" xfId="0" applyFont="1" applyFill="1" applyBorder="1" applyAlignment="1" applyProtection="1">
      <alignment horizontal="center" vertical="center"/>
      <protection hidden="1"/>
    </xf>
    <xf numFmtId="0" fontId="30" fillId="11" borderId="23" xfId="0" applyFont="1" applyFill="1" applyBorder="1" applyAlignment="1" applyProtection="1">
      <alignment horizontal="center" vertical="center"/>
      <protection hidden="1"/>
    </xf>
    <xf numFmtId="0" fontId="30" fillId="11" borderId="33" xfId="0" applyFont="1" applyFill="1" applyBorder="1" applyAlignment="1" applyProtection="1">
      <alignment horizontal="center" vertical="center"/>
      <protection hidden="1"/>
    </xf>
    <xf numFmtId="0" fontId="30" fillId="11" borderId="32" xfId="0" applyFont="1" applyFill="1" applyBorder="1" applyAlignment="1" applyProtection="1">
      <alignment horizontal="center"/>
    </xf>
    <xf numFmtId="0" fontId="30" fillId="11" borderId="23" xfId="0" applyFont="1" applyFill="1" applyBorder="1" applyAlignment="1" applyProtection="1">
      <alignment horizontal="center"/>
    </xf>
    <xf numFmtId="0" fontId="30" fillId="11" borderId="33" xfId="0" applyFont="1" applyFill="1" applyBorder="1" applyAlignment="1" applyProtection="1">
      <alignment horizontal="center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0" fontId="20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0" xfId="0" applyFont="1" applyBorder="1" applyAlignment="1" applyProtection="1">
      <alignment horizontal="center" vertical="center"/>
      <protection hidden="1"/>
    </xf>
    <xf numFmtId="0" fontId="48" fillId="0" borderId="15" xfId="0" applyFont="1" applyBorder="1" applyAlignment="1" applyProtection="1">
      <alignment horizontal="center" vertical="center"/>
      <protection hidden="1"/>
    </xf>
    <xf numFmtId="0" fontId="48" fillId="0" borderId="11" xfId="0" applyFont="1" applyBorder="1" applyAlignment="1" applyProtection="1">
      <alignment horizontal="center" vertical="center"/>
      <protection hidden="1"/>
    </xf>
    <xf numFmtId="0" fontId="48" fillId="0" borderId="6" xfId="0" applyFont="1" applyBorder="1" applyAlignment="1" applyProtection="1">
      <alignment horizontal="center" vertical="center"/>
      <protection hidden="1"/>
    </xf>
    <xf numFmtId="0" fontId="48" fillId="0" borderId="36" xfId="0" applyFont="1" applyBorder="1" applyAlignment="1" applyProtection="1">
      <alignment horizontal="center" vertical="center"/>
      <protection hidden="1"/>
    </xf>
    <xf numFmtId="0" fontId="48" fillId="0" borderId="35" xfId="0" applyFont="1" applyBorder="1" applyAlignment="1" applyProtection="1">
      <alignment horizontal="center" vertical="center"/>
      <protection hidden="1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0" fillId="0" borderId="37" xfId="0" applyFont="1" applyFill="1" applyBorder="1" applyAlignment="1" applyProtection="1">
      <alignment horizontal="center" vertical="center"/>
      <protection hidden="1"/>
    </xf>
    <xf numFmtId="0" fontId="40" fillId="0" borderId="34" xfId="0" applyFont="1" applyFill="1" applyBorder="1" applyAlignment="1" applyProtection="1">
      <alignment horizontal="center" vertical="center"/>
      <protection hidden="1"/>
    </xf>
    <xf numFmtId="0" fontId="40" fillId="0" borderId="31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5" fontId="13" fillId="0" borderId="37" xfId="1" applyFont="1" applyFill="1" applyBorder="1" applyAlignment="1" applyProtection="1">
      <alignment horizontal="center" vertical="center"/>
      <protection locked="0" hidden="1"/>
    </xf>
    <xf numFmtId="175" fontId="13" fillId="0" borderId="34" xfId="1" applyFont="1" applyFill="1" applyBorder="1" applyAlignment="1" applyProtection="1">
      <alignment horizontal="center" vertical="center"/>
      <protection locked="0"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1" fillId="12" borderId="23" xfId="0" applyNumberFormat="1" applyFont="1" applyFill="1" applyBorder="1" applyAlignment="1" applyProtection="1">
      <alignment horizontal="center" vertical="center"/>
      <protection hidden="1"/>
    </xf>
    <xf numFmtId="14" fontId="41" fillId="12" borderId="33" xfId="0" applyNumberFormat="1" applyFont="1" applyFill="1" applyBorder="1" applyAlignment="1" applyProtection="1">
      <alignment horizontal="center" vertical="center"/>
      <protection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9" fillId="0" borderId="1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1" fontId="42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2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0" fontId="35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66" fillId="7" borderId="0" xfId="0" applyFont="1" applyFill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4" fillId="0" borderId="49" xfId="0" applyNumberFormat="1" applyFont="1" applyFill="1" applyBorder="1" applyAlignment="1" applyProtection="1">
      <alignment horizontal="center" vertical="center"/>
      <protection hidden="1"/>
    </xf>
    <xf numFmtId="0" fontId="55" fillId="0" borderId="49" xfId="0" applyFont="1" applyBorder="1" applyAlignment="1">
      <alignment horizontal="center" vertical="center"/>
    </xf>
    <xf numFmtId="0" fontId="55" fillId="0" borderId="57" xfId="0" applyFont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55" fillId="0" borderId="56" xfId="0" applyFont="1" applyBorder="1" applyAlignment="1">
      <alignment horizontal="center" vertical="center"/>
    </xf>
    <xf numFmtId="0" fontId="55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0" fontId="40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44" xfId="0" applyFont="1" applyFill="1" applyBorder="1" applyAlignment="1" applyProtection="1">
      <alignment horizontal="center" vertical="center"/>
      <protection hidden="1"/>
    </xf>
    <xf numFmtId="0" fontId="60" fillId="0" borderId="12" xfId="0" applyNumberFormat="1" applyFont="1" applyBorder="1" applyAlignment="1" applyProtection="1">
      <alignment horizontal="center" vertical="center"/>
      <protection hidden="1"/>
    </xf>
    <xf numFmtId="0" fontId="60" fillId="0" borderId="3" xfId="0" applyNumberFormat="1" applyFont="1" applyBorder="1" applyAlignment="1" applyProtection="1">
      <alignment horizontal="center" vertical="center"/>
      <protection hidden="1"/>
    </xf>
    <xf numFmtId="0" fontId="60" fillId="0" borderId="5" xfId="0" applyNumberFormat="1" applyFont="1" applyBorder="1" applyAlignment="1" applyProtection="1">
      <alignment horizontal="center" vertical="center"/>
      <protection hidden="1"/>
    </xf>
    <xf numFmtId="0" fontId="60" fillId="0" borderId="21" xfId="0" applyNumberFormat="1" applyFont="1" applyBorder="1" applyAlignment="1" applyProtection="1">
      <alignment horizontal="center" vertical="center"/>
      <protection hidden="1"/>
    </xf>
    <xf numFmtId="0" fontId="60" fillId="0" borderId="15" xfId="0" applyNumberFormat="1" applyFont="1" applyBorder="1" applyAlignment="1" applyProtection="1">
      <alignment horizontal="center" vertical="center"/>
      <protection hidden="1"/>
    </xf>
    <xf numFmtId="0" fontId="60" fillId="0" borderId="17" xfId="0" applyNumberFormat="1" applyFont="1" applyBorder="1" applyAlignment="1" applyProtection="1">
      <alignment horizontal="center" vertical="center"/>
      <protection hidden="1"/>
    </xf>
    <xf numFmtId="0" fontId="69" fillId="0" borderId="21" xfId="0" applyNumberFormat="1" applyFont="1" applyFill="1" applyBorder="1" applyAlignment="1" applyProtection="1">
      <alignment horizontal="center" vertical="center"/>
      <protection hidden="1"/>
    </xf>
    <xf numFmtId="0" fontId="69" fillId="0" borderId="15" xfId="0" applyNumberFormat="1" applyFont="1" applyFill="1" applyBorder="1" applyAlignment="1" applyProtection="1">
      <alignment horizontal="center" vertical="center"/>
      <protection hidden="1"/>
    </xf>
    <xf numFmtId="0" fontId="56" fillId="0" borderId="16" xfId="0" applyNumberFormat="1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23" xfId="0" applyFont="1" applyBorder="1" applyAlignment="1" applyProtection="1">
      <alignment horizontal="center" vertical="center"/>
      <protection hidden="1"/>
    </xf>
    <xf numFmtId="0" fontId="40" fillId="0" borderId="33" xfId="0" applyFont="1" applyBorder="1" applyAlignment="1" applyProtection="1">
      <alignment horizontal="center" vertical="center"/>
      <protection hidden="1"/>
    </xf>
    <xf numFmtId="0" fontId="40" fillId="0" borderId="45" xfId="0" applyFont="1" applyFill="1" applyBorder="1" applyAlignment="1" applyProtection="1">
      <alignment horizontal="center" vertical="center"/>
      <protection hidden="1"/>
    </xf>
    <xf numFmtId="169" fontId="59" fillId="0" borderId="13" xfId="0" applyNumberFormat="1" applyFont="1" applyBorder="1" applyAlignment="1" applyProtection="1">
      <alignment horizontal="center" vertical="center"/>
      <protection hidden="1"/>
    </xf>
    <xf numFmtId="169" fontId="59" fillId="0" borderId="7" xfId="0" applyNumberFormat="1" applyFont="1" applyBorder="1" applyAlignment="1" applyProtection="1">
      <alignment horizontal="center" vertical="center"/>
      <protection hidden="1"/>
    </xf>
    <xf numFmtId="169" fontId="59" fillId="0" borderId="8" xfId="0" applyNumberFormat="1" applyFont="1" applyBorder="1" applyAlignment="1" applyProtection="1">
      <alignment horizontal="center" vertical="center"/>
      <protection hidden="1"/>
    </xf>
    <xf numFmtId="169" fontId="59" fillId="0" borderId="1" xfId="0" applyNumberFormat="1" applyFont="1" applyBorder="1" applyAlignment="1" applyProtection="1">
      <alignment horizontal="center" vertical="center"/>
      <protection hidden="1"/>
    </xf>
    <xf numFmtId="169" fontId="59" fillId="0" borderId="0" xfId="0" applyNumberFormat="1" applyFont="1" applyBorder="1" applyAlignment="1" applyProtection="1">
      <alignment horizontal="center" vertical="center"/>
      <protection hidden="1"/>
    </xf>
    <xf numFmtId="169" fontId="59" fillId="0" borderId="6" xfId="0" applyNumberFormat="1" applyFont="1" applyBorder="1" applyAlignment="1" applyProtection="1">
      <alignment horizontal="center" vertical="center"/>
      <protection hidden="1"/>
    </xf>
    <xf numFmtId="169" fontId="59" fillId="0" borderId="21" xfId="0" applyNumberFormat="1" applyFont="1" applyBorder="1" applyAlignment="1" applyProtection="1">
      <alignment horizontal="center" vertical="center"/>
      <protection hidden="1"/>
    </xf>
    <xf numFmtId="169" fontId="59" fillId="0" borderId="15" xfId="0" applyNumberFormat="1" applyFont="1" applyBorder="1" applyAlignment="1" applyProtection="1">
      <alignment horizontal="center" vertical="center"/>
      <protection hidden="1"/>
    </xf>
    <xf numFmtId="169" fontId="59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57" fillId="0" borderId="13" xfId="0" applyNumberFormat="1" applyFont="1" applyBorder="1" applyAlignment="1" applyProtection="1">
      <alignment horizontal="center" vertical="center"/>
      <protection hidden="1"/>
    </xf>
    <xf numFmtId="164" fontId="57" fillId="0" borderId="10" xfId="0" applyNumberFormat="1" applyFont="1" applyBorder="1" applyAlignment="1" applyProtection="1">
      <alignment horizontal="center" vertical="center"/>
      <protection hidden="1"/>
    </xf>
    <xf numFmtId="164" fontId="57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85" fillId="0" borderId="3" xfId="0" applyFont="1" applyBorder="1" applyAlignment="1" applyProtection="1">
      <alignment horizontal="center" vertical="center" wrapText="1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66" fillId="11" borderId="12" xfId="0" applyFont="1" applyFill="1" applyBorder="1" applyAlignment="1" applyProtection="1">
      <alignment horizontal="center" vertical="center" wrapText="1"/>
      <protection hidden="1"/>
    </xf>
    <xf numFmtId="0" fontId="66" fillId="11" borderId="3" xfId="0" applyFont="1" applyFill="1" applyBorder="1" applyAlignment="1" applyProtection="1">
      <alignment horizontal="center" vertical="center" wrapText="1"/>
      <protection hidden="1"/>
    </xf>
    <xf numFmtId="0" fontId="66" fillId="11" borderId="5" xfId="0" applyFont="1" applyFill="1" applyBorder="1" applyAlignment="1" applyProtection="1">
      <alignment horizontal="center" vertical="center" wrapText="1"/>
      <protection hidden="1"/>
    </xf>
    <xf numFmtId="0" fontId="66" fillId="11" borderId="1" xfId="0" applyFont="1" applyFill="1" applyBorder="1" applyAlignment="1" applyProtection="1">
      <alignment horizontal="center" vertical="center" wrapText="1"/>
      <protection hidden="1"/>
    </xf>
    <xf numFmtId="0" fontId="66" fillId="11" borderId="0" xfId="0" applyFont="1" applyFill="1" applyBorder="1" applyAlignment="1" applyProtection="1">
      <alignment horizontal="center" vertical="center" wrapText="1"/>
      <protection hidden="1"/>
    </xf>
    <xf numFmtId="0" fontId="66" fillId="11" borderId="2" xfId="0" applyFont="1" applyFill="1" applyBorder="1" applyAlignment="1" applyProtection="1">
      <alignment horizontal="center" vertical="center" wrapText="1"/>
      <protection hidden="1"/>
    </xf>
    <xf numFmtId="0" fontId="66" fillId="11" borderId="21" xfId="0" applyFont="1" applyFill="1" applyBorder="1" applyAlignment="1" applyProtection="1">
      <alignment horizontal="center" vertical="center" wrapText="1"/>
      <protection hidden="1"/>
    </xf>
    <xf numFmtId="0" fontId="66" fillId="11" borderId="15" xfId="0" applyFont="1" applyFill="1" applyBorder="1" applyAlignment="1" applyProtection="1">
      <alignment horizontal="center" vertical="center" wrapText="1"/>
      <protection hidden="1"/>
    </xf>
    <xf numFmtId="0" fontId="66" fillId="11" borderId="17" xfId="0" applyFont="1" applyFill="1" applyBorder="1" applyAlignment="1" applyProtection="1">
      <alignment horizontal="center" vertical="center" wrapText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2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30" fillId="5" borderId="32" xfId="0" applyFont="1" applyFill="1" applyBorder="1" applyAlignment="1" applyProtection="1">
      <alignment horizontal="center" vertical="center"/>
      <protection hidden="1"/>
    </xf>
    <xf numFmtId="0" fontId="30" fillId="5" borderId="23" xfId="0" applyFont="1" applyFill="1" applyBorder="1" applyAlignment="1" applyProtection="1">
      <alignment horizontal="center" vertical="center"/>
      <protection hidden="1"/>
    </xf>
    <xf numFmtId="0" fontId="30" fillId="5" borderId="33" xfId="0" applyFont="1" applyFill="1" applyBorder="1" applyAlignment="1" applyProtection="1">
      <alignment horizontal="center" vertical="center"/>
      <protection hidden="1"/>
    </xf>
    <xf numFmtId="0" fontId="63" fillId="7" borderId="0" xfId="0" applyFont="1" applyFill="1" applyBorder="1" applyAlignment="1" applyProtection="1">
      <alignment horizontal="center" vertical="center"/>
      <protection hidden="1"/>
    </xf>
    <xf numFmtId="0" fontId="64" fillId="7" borderId="0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30" fillId="11" borderId="12" xfId="0" applyFont="1" applyFill="1" applyBorder="1" applyAlignment="1" applyProtection="1">
      <alignment horizontal="center" vertical="center"/>
      <protection hidden="1"/>
    </xf>
    <xf numFmtId="0" fontId="30" fillId="11" borderId="3" xfId="0" applyFont="1" applyFill="1" applyBorder="1" applyAlignment="1" applyProtection="1">
      <alignment horizontal="center" vertical="center"/>
      <protection hidden="1"/>
    </xf>
    <xf numFmtId="0" fontId="30" fillId="11" borderId="5" xfId="0" applyFont="1" applyFill="1" applyBorder="1" applyAlignment="1" applyProtection="1">
      <alignment horizontal="center" vertical="center"/>
      <protection hidden="1"/>
    </xf>
    <xf numFmtId="0" fontId="30" fillId="11" borderId="21" xfId="0" applyFont="1" applyFill="1" applyBorder="1" applyAlignment="1" applyProtection="1">
      <alignment horizontal="center" vertical="center"/>
      <protection hidden="1"/>
    </xf>
    <xf numFmtId="0" fontId="30" fillId="11" borderId="15" xfId="0" applyFont="1" applyFill="1" applyBorder="1" applyAlignment="1" applyProtection="1">
      <alignment horizontal="center" vertical="center"/>
      <protection hidden="1"/>
    </xf>
    <xf numFmtId="0" fontId="30" fillId="11" borderId="17" xfId="0" applyFont="1" applyFill="1" applyBorder="1" applyAlignment="1" applyProtection="1">
      <alignment horizontal="center" vertical="center"/>
      <protection hidden="1"/>
    </xf>
    <xf numFmtId="0" fontId="83" fillId="0" borderId="15" xfId="0" applyFont="1" applyBorder="1" applyAlignment="1">
      <alignment horizontal="center" vertical="center"/>
    </xf>
    <xf numFmtId="0" fontId="18" fillId="2" borderId="3" xfId="0" applyFont="1" applyFill="1" applyBorder="1" applyAlignment="1" applyProtection="1">
      <alignment horizontal="center" vertical="center" wrapText="1"/>
    </xf>
    <xf numFmtId="0" fontId="18" fillId="2" borderId="5" xfId="0" applyFont="1" applyFill="1" applyBorder="1" applyAlignment="1" applyProtection="1">
      <alignment horizontal="center" vertical="center" wrapText="1"/>
    </xf>
    <xf numFmtId="0" fontId="18" fillId="2" borderId="15" xfId="0" applyFont="1" applyFill="1" applyBorder="1" applyAlignment="1" applyProtection="1">
      <alignment horizontal="center" vertical="center" wrapText="1"/>
    </xf>
    <xf numFmtId="0" fontId="18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6" fillId="2" borderId="52" xfId="0" applyFont="1" applyFill="1" applyBorder="1" applyAlignment="1" applyProtection="1">
      <alignment horizontal="center" vertical="center"/>
    </xf>
    <xf numFmtId="0" fontId="16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6" fillId="2" borderId="60" xfId="0" applyFont="1" applyFill="1" applyBorder="1" applyAlignment="1" applyProtection="1">
      <alignment horizontal="center" vertical="center"/>
    </xf>
    <xf numFmtId="0" fontId="32" fillId="3" borderId="68" xfId="0" applyFont="1" applyFill="1" applyBorder="1" applyAlignment="1" applyProtection="1">
      <alignment horizontal="center" vertical="center"/>
    </xf>
    <xf numFmtId="0" fontId="32" fillId="3" borderId="69" xfId="0" applyFont="1" applyFill="1" applyBorder="1" applyAlignment="1" applyProtection="1">
      <alignment horizontal="center" vertical="center"/>
    </xf>
    <xf numFmtId="0" fontId="32" fillId="3" borderId="77" xfId="0" applyFont="1" applyFill="1" applyBorder="1" applyAlignment="1" applyProtection="1">
      <alignment horizontal="center" vertical="center" wrapText="1"/>
    </xf>
    <xf numFmtId="0" fontId="16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8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1" fillId="8" borderId="12" xfId="0" applyFont="1" applyFill="1" applyBorder="1" applyAlignment="1" applyProtection="1">
      <alignment horizontal="center" vertical="center"/>
    </xf>
    <xf numFmtId="0" fontId="21" fillId="8" borderId="3" xfId="0" applyFont="1" applyFill="1" applyBorder="1" applyAlignment="1" applyProtection="1">
      <alignment horizontal="center" vertical="center"/>
    </xf>
    <xf numFmtId="0" fontId="21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0" fillId="0" borderId="16" xfId="2" applyFill="1" applyBorder="1" applyAlignment="1" applyProtection="1">
      <alignment horizontal="center" vertical="center"/>
    </xf>
    <xf numFmtId="0" fontId="29" fillId="0" borderId="16" xfId="0" applyFont="1" applyFill="1" applyBorder="1" applyAlignment="1" applyProtection="1">
      <alignment horizontal="center" vertical="center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30" fillId="3" borderId="16" xfId="0" applyFont="1" applyFill="1" applyBorder="1" applyAlignment="1" applyProtection="1">
      <alignment horizontal="center" vertical="center" textRotation="90"/>
    </xf>
    <xf numFmtId="0" fontId="28" fillId="0" borderId="16" xfId="0" applyNumberFormat="1" applyFont="1" applyFill="1" applyBorder="1" applyAlignment="1" applyProtection="1">
      <alignment horizontal="left" vertical="center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7" fillId="0" borderId="79" xfId="0" applyNumberFormat="1" applyFont="1" applyFill="1" applyBorder="1" applyAlignment="1" applyProtection="1">
      <alignment horizontal="right" vertical="center"/>
    </xf>
    <xf numFmtId="166" fontId="37" fillId="0" borderId="80" xfId="0" applyNumberFormat="1" applyFont="1" applyFill="1" applyBorder="1" applyAlignment="1" applyProtection="1">
      <alignment horizontal="right" vertical="center"/>
    </xf>
    <xf numFmtId="166" fontId="37" fillId="0" borderId="19" xfId="0" applyNumberFormat="1" applyFont="1" applyFill="1" applyBorder="1" applyAlignment="1" applyProtection="1">
      <alignment horizontal="right" vertical="center"/>
    </xf>
    <xf numFmtId="165" fontId="34" fillId="3" borderId="67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165" fontId="33" fillId="3" borderId="68" xfId="0" applyNumberFormat="1" applyFont="1" applyFill="1" applyBorder="1" applyAlignment="1" applyProtection="1">
      <alignment horizontal="left" vertical="center"/>
    </xf>
    <xf numFmtId="0" fontId="34" fillId="3" borderId="67" xfId="0" applyFont="1" applyFill="1" applyBorder="1" applyAlignment="1" applyProtection="1">
      <alignment horizontal="center" vertical="center"/>
    </xf>
    <xf numFmtId="0" fontId="34" fillId="3" borderId="68" xfId="0" applyFont="1" applyFill="1" applyBorder="1" applyAlignment="1" applyProtection="1">
      <alignment horizontal="center" vertical="center"/>
    </xf>
    <xf numFmtId="0" fontId="30" fillId="3" borderId="75" xfId="0" applyFont="1" applyFill="1" applyBorder="1" applyAlignment="1" applyProtection="1">
      <alignment horizontal="center" vertical="center" textRotation="90"/>
    </xf>
    <xf numFmtId="166" fontId="37" fillId="0" borderId="80" xfId="0" applyNumberFormat="1" applyFont="1" applyFill="1" applyBorder="1" applyAlignment="1" applyProtection="1">
      <alignment horizontal="right" vertical="center"/>
      <protection locked="0"/>
    </xf>
    <xf numFmtId="166" fontId="37" fillId="0" borderId="19" xfId="0" applyNumberFormat="1" applyFont="1" applyFill="1" applyBorder="1" applyAlignment="1" applyProtection="1">
      <alignment horizontal="right" vertical="center"/>
      <protection locked="0"/>
    </xf>
    <xf numFmtId="166" fontId="37" fillId="0" borderId="20" xfId="0" applyNumberFormat="1" applyFont="1" applyFill="1" applyBorder="1" applyAlignment="1" applyProtection="1">
      <alignment horizontal="right" vertical="center"/>
      <protection locked="0"/>
    </xf>
    <xf numFmtId="14" fontId="37" fillId="0" borderId="80" xfId="0" applyNumberFormat="1" applyFont="1" applyFill="1" applyBorder="1" applyAlignment="1" applyProtection="1">
      <alignment horizontal="right" vertical="center"/>
    </xf>
    <xf numFmtId="14" fontId="37" fillId="0" borderId="19" xfId="0" applyNumberFormat="1" applyFont="1" applyFill="1" applyBorder="1" applyAlignment="1" applyProtection="1">
      <alignment horizontal="right" vertical="center"/>
    </xf>
    <xf numFmtId="0" fontId="16" fillId="0" borderId="15" xfId="0" applyFont="1" applyBorder="1" applyAlignment="1">
      <alignment horizontal="left" vertical="center"/>
    </xf>
    <xf numFmtId="0" fontId="23" fillId="0" borderId="3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M$8" sel="4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Radio" checked="Checked" firstButton="1" fmlaLink="Publicida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5" sel="3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72</xdr:row>
      <xdr:rowOff>0</xdr:rowOff>
    </xdr:from>
    <xdr:to>
      <xdr:col>32</xdr:col>
      <xdr:colOff>181028</xdr:colOff>
      <xdr:row>72</xdr:row>
      <xdr:rowOff>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3943350" y="10534650"/>
          <a:ext cx="3238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El concursante declara bajo su única responsabilidad que el vehículo debe quedar inscrito en los Campeonatos, Copas y Trofeos indicados en este apartado.</a:t>
          </a:r>
        </a:p>
      </xdr:txBody>
    </xdr:sp>
    <xdr:clientData/>
  </xdr:twoCellAnchor>
  <xdr:twoCellAnchor>
    <xdr:from>
      <xdr:col>29</xdr:col>
      <xdr:colOff>38100</xdr:colOff>
      <xdr:row>87</xdr:row>
      <xdr:rowOff>50800</xdr:rowOff>
    </xdr:from>
    <xdr:to>
      <xdr:col>32</xdr:col>
      <xdr:colOff>50800</xdr:colOff>
      <xdr:row>93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71</xdr:row>
      <xdr:rowOff>38100</xdr:rowOff>
    </xdr:from>
    <xdr:to>
      <xdr:col>33</xdr:col>
      <xdr:colOff>67094</xdr:colOff>
      <xdr:row>74</xdr:row>
      <xdr:rowOff>9524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89</xdr:row>
          <xdr:rowOff>0</xdr:rowOff>
        </xdr:from>
        <xdr:to>
          <xdr:col>32</xdr:col>
          <xdr:colOff>50800</xdr:colOff>
          <xdr:row>93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41918" y="10018568"/>
              <a:ext cx="662132" cy="484909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67</xdr:row>
          <xdr:rowOff>28575</xdr:rowOff>
        </xdr:from>
        <xdr:to>
          <xdr:col>32</xdr:col>
          <xdr:colOff>142875</xdr:colOff>
          <xdr:row>67</xdr:row>
          <xdr:rowOff>236837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71</xdr:row>
          <xdr:rowOff>0</xdr:rowOff>
        </xdr:from>
        <xdr:to>
          <xdr:col>11</xdr:col>
          <xdr:colOff>180975</xdr:colOff>
          <xdr:row>71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71</xdr:row>
          <xdr:rowOff>0</xdr:rowOff>
        </xdr:from>
        <xdr:to>
          <xdr:col>12</xdr:col>
          <xdr:colOff>161925</xdr:colOff>
          <xdr:row>71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71</xdr:row>
          <xdr:rowOff>0</xdr:rowOff>
        </xdr:from>
        <xdr:to>
          <xdr:col>27</xdr:col>
          <xdr:colOff>104775</xdr:colOff>
          <xdr:row>72</xdr:row>
          <xdr:rowOff>9525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143</xdr:row>
          <xdr:rowOff>161925</xdr:rowOff>
        </xdr:from>
        <xdr:to>
          <xdr:col>28</xdr:col>
          <xdr:colOff>104775</xdr:colOff>
          <xdr:row>145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143</xdr:row>
          <xdr:rowOff>180975</xdr:rowOff>
        </xdr:from>
        <xdr:to>
          <xdr:col>31</xdr:col>
          <xdr:colOff>142875</xdr:colOff>
          <xdr:row>145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144</xdr:row>
          <xdr:rowOff>0</xdr:rowOff>
        </xdr:from>
        <xdr:to>
          <xdr:col>23</xdr:col>
          <xdr:colOff>123825</xdr:colOff>
          <xdr:row>145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143</xdr:row>
          <xdr:rowOff>180975</xdr:rowOff>
        </xdr:from>
        <xdr:to>
          <xdr:col>21</xdr:col>
          <xdr:colOff>28575</xdr:colOff>
          <xdr:row>145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145</xdr:row>
          <xdr:rowOff>0</xdr:rowOff>
        </xdr:from>
        <xdr:to>
          <xdr:col>23</xdr:col>
          <xdr:colOff>123825</xdr:colOff>
          <xdr:row>146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144</xdr:row>
          <xdr:rowOff>180975</xdr:rowOff>
        </xdr:from>
        <xdr:to>
          <xdr:col>21</xdr:col>
          <xdr:colOff>28575</xdr:colOff>
          <xdr:row>146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146</xdr:row>
          <xdr:rowOff>0</xdr:rowOff>
        </xdr:from>
        <xdr:to>
          <xdr:col>23</xdr:col>
          <xdr:colOff>123825</xdr:colOff>
          <xdr:row>147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145</xdr:row>
          <xdr:rowOff>180975</xdr:rowOff>
        </xdr:from>
        <xdr:to>
          <xdr:col>21</xdr:col>
          <xdr:colOff>28575</xdr:colOff>
          <xdr:row>147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144</xdr:row>
          <xdr:rowOff>161925</xdr:rowOff>
        </xdr:from>
        <xdr:to>
          <xdr:col>28</xdr:col>
          <xdr:colOff>104775</xdr:colOff>
          <xdr:row>146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144</xdr:row>
          <xdr:rowOff>180975</xdr:rowOff>
        </xdr:from>
        <xdr:to>
          <xdr:col>31</xdr:col>
          <xdr:colOff>142875</xdr:colOff>
          <xdr:row>146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145</xdr:row>
          <xdr:rowOff>161925</xdr:rowOff>
        </xdr:from>
        <xdr:to>
          <xdr:col>28</xdr:col>
          <xdr:colOff>104775</xdr:colOff>
          <xdr:row>147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145</xdr:row>
          <xdr:rowOff>180975</xdr:rowOff>
        </xdr:from>
        <xdr:to>
          <xdr:col>31</xdr:col>
          <xdr:colOff>142875</xdr:colOff>
          <xdr:row>147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104</xdr:row>
      <xdr:rowOff>12700</xdr:rowOff>
    </xdr:from>
    <xdr:to>
      <xdr:col>11</xdr:col>
      <xdr:colOff>88900</xdr:colOff>
      <xdr:row>124</xdr:row>
      <xdr:rowOff>12699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scripciones.subidalanjaron@gmail.com" TargetMode="External"/><Relationship Id="rId2" Type="http://schemas.openxmlformats.org/officeDocument/2006/relationships/hyperlink" Target="mailto:automovilclubelejido@gmail.com" TargetMode="External"/><Relationship Id="rId1" Type="http://schemas.openxmlformats.org/officeDocument/2006/relationships/hyperlink" Target="mailto:subidacasarabone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32"/>
  <sheetViews>
    <sheetView showGridLines="0" showZeros="0" tabSelected="1" showOutlineSymbols="0" zoomScale="110" zoomScaleNormal="110" zoomScaleSheetLayoutView="90" workbookViewId="0">
      <selection activeCell="W119" sqref="W119"/>
    </sheetView>
  </sheetViews>
  <sheetFormatPr baseColWidth="10" defaultColWidth="0" defaultRowHeight="0" customHeight="1" zeroHeight="1" x14ac:dyDescent="0.2"/>
  <cols>
    <col min="1" max="1" width="6.7109375" style="72" customWidth="1"/>
    <col min="2" max="2" width="2.42578125" style="72" customWidth="1"/>
    <col min="3" max="3" width="4.7109375" style="72" customWidth="1"/>
    <col min="4" max="7" width="3.42578125" style="72" customWidth="1"/>
    <col min="8" max="8" width="4.42578125" style="72" customWidth="1"/>
    <col min="9" max="9" width="2.28515625" style="72" customWidth="1"/>
    <col min="10" max="10" width="3.42578125" style="72" customWidth="1"/>
    <col min="11" max="11" width="1.28515625" style="72" customWidth="1"/>
    <col min="12" max="12" width="7.28515625" style="72" customWidth="1"/>
    <col min="13" max="14" width="3.42578125" style="72" customWidth="1"/>
    <col min="15" max="15" width="2.7109375" style="72" customWidth="1"/>
    <col min="16" max="16" width="2" style="72" customWidth="1"/>
    <col min="17" max="17" width="3.7109375" style="72" customWidth="1"/>
    <col min="18" max="18" width="2" style="72" customWidth="1"/>
    <col min="19" max="19" width="1.140625" style="72" customWidth="1"/>
    <col min="20" max="21" width="2" style="72" customWidth="1"/>
    <col min="22" max="23" width="3.42578125" style="72" customWidth="1"/>
    <col min="24" max="24" width="4.7109375" style="72" customWidth="1"/>
    <col min="25" max="26" width="2.7109375" style="72" customWidth="1"/>
    <col min="27" max="27" width="3.28515625" style="72" customWidth="1"/>
    <col min="28" max="28" width="3.42578125" style="72" customWidth="1"/>
    <col min="29" max="29" width="2.7109375" style="72" customWidth="1"/>
    <col min="30" max="30" width="2" style="72" customWidth="1"/>
    <col min="31" max="31" width="3.42578125" style="72" customWidth="1"/>
    <col min="32" max="32" width="4.42578125" style="72" customWidth="1"/>
    <col min="33" max="33" width="3.42578125" style="72" customWidth="1"/>
    <col min="34" max="34" width="2.42578125" style="72" customWidth="1"/>
    <col min="35" max="35" width="6.42578125" style="72" customWidth="1"/>
    <col min="36" max="36" width="1.140625" style="72" hidden="1" customWidth="1"/>
    <col min="37" max="16384" width="11.42578125" style="72" hidden="1"/>
  </cols>
  <sheetData>
    <row r="1" spans="2:35" ht="5.0999999999999996" customHeight="1" x14ac:dyDescent="0.2"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0"/>
      <c r="AA1" s="560"/>
      <c r="AB1" s="560"/>
      <c r="AC1" s="560"/>
      <c r="AD1" s="560"/>
      <c r="AE1" s="560"/>
      <c r="AF1" s="560"/>
      <c r="AG1" s="560"/>
      <c r="AH1" s="560"/>
      <c r="AI1" s="72" t="s">
        <v>303</v>
      </c>
    </row>
    <row r="2" spans="2:35" s="73" customFormat="1" ht="3.75" customHeight="1" x14ac:dyDescent="0.2">
      <c r="B2" s="66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</row>
    <row r="3" spans="2:35" s="73" customFormat="1" ht="21.75" customHeight="1" x14ac:dyDescent="0.2">
      <c r="B3" s="70"/>
      <c r="C3" s="577" t="s">
        <v>304</v>
      </c>
      <c r="D3" s="577"/>
      <c r="E3" s="577"/>
      <c r="F3" s="577"/>
      <c r="G3" s="577"/>
      <c r="H3" s="577"/>
      <c r="I3" s="577"/>
      <c r="J3" s="577"/>
      <c r="K3" s="577"/>
      <c r="L3" s="577"/>
      <c r="M3" s="577"/>
      <c r="N3" s="577"/>
      <c r="O3" s="577"/>
      <c r="P3" s="577"/>
      <c r="Q3" s="577"/>
      <c r="R3" s="577"/>
      <c r="S3" s="577"/>
      <c r="T3" s="577"/>
      <c r="U3" s="577"/>
      <c r="V3" s="577"/>
      <c r="W3" s="577"/>
      <c r="X3" s="577"/>
      <c r="Y3" s="577"/>
      <c r="Z3" s="577"/>
      <c r="AA3" s="577"/>
      <c r="AB3" s="577"/>
      <c r="AC3" s="577"/>
      <c r="AD3" s="577"/>
      <c r="AE3" s="577"/>
      <c r="AF3" s="577"/>
      <c r="AG3" s="577"/>
      <c r="AH3" s="71"/>
    </row>
    <row r="4" spans="2:35" s="73" customFormat="1" ht="12" customHeight="1" x14ac:dyDescent="0.2">
      <c r="B4" s="70"/>
      <c r="C4" s="74" t="s">
        <v>54</v>
      </c>
      <c r="D4" s="65" t="s">
        <v>53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71"/>
    </row>
    <row r="5" spans="2:35" s="73" customFormat="1" ht="12" customHeight="1" x14ac:dyDescent="0.2">
      <c r="B5" s="70"/>
      <c r="C5" s="74" t="s">
        <v>55</v>
      </c>
      <c r="D5" s="65" t="s">
        <v>196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71"/>
    </row>
    <row r="6" spans="2:35" s="73" customFormat="1" ht="24" customHeight="1" x14ac:dyDescent="0.2">
      <c r="B6" s="564" t="s">
        <v>197</v>
      </c>
      <c r="C6" s="565"/>
      <c r="D6" s="565"/>
      <c r="E6" s="565"/>
      <c r="F6" s="565"/>
      <c r="G6" s="565"/>
      <c r="H6" s="565"/>
      <c r="I6" s="565"/>
      <c r="J6" s="565"/>
      <c r="K6" s="565"/>
      <c r="L6" s="565"/>
      <c r="M6" s="565"/>
      <c r="N6" s="565"/>
      <c r="O6" s="565"/>
      <c r="P6" s="565"/>
      <c r="Q6" s="565"/>
      <c r="R6" s="565"/>
      <c r="S6" s="565"/>
      <c r="T6" s="565"/>
      <c r="U6" s="565"/>
      <c r="V6" s="565"/>
      <c r="W6" s="565"/>
      <c r="X6" s="565"/>
      <c r="Y6" s="565"/>
      <c r="Z6" s="565"/>
      <c r="AA6" s="565"/>
      <c r="AB6" s="565"/>
      <c r="AC6" s="565"/>
      <c r="AD6" s="565"/>
      <c r="AE6" s="565"/>
      <c r="AF6" s="565"/>
      <c r="AG6" s="565"/>
      <c r="AH6" s="566"/>
    </row>
    <row r="7" spans="2:35" ht="5.0999999999999996" customHeight="1" x14ac:dyDescent="0.2">
      <c r="B7" s="75"/>
      <c r="C7" s="76"/>
      <c r="D7" s="77"/>
      <c r="E7" s="78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2:35" ht="12.75" customHeight="1" x14ac:dyDescent="0.15">
      <c r="B8" s="569" t="str">
        <f>Opcion</f>
        <v>ESTADO NORMAL (Todos los datos visibles)</v>
      </c>
      <c r="C8" s="570"/>
      <c r="D8" s="570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82"/>
      <c r="P8" s="75"/>
      <c r="Q8" s="571" t="s">
        <v>178</v>
      </c>
      <c r="R8" s="572"/>
      <c r="S8" s="572"/>
      <c r="T8" s="572"/>
      <c r="U8" s="572"/>
      <c r="V8" s="572"/>
      <c r="W8" s="572"/>
      <c r="X8" s="572"/>
      <c r="Y8" s="572"/>
      <c r="Z8" s="572"/>
      <c r="AA8" s="572"/>
      <c r="AB8" s="572"/>
      <c r="AC8" s="572"/>
      <c r="AD8" s="572"/>
      <c r="AE8" s="572"/>
      <c r="AF8" s="572"/>
      <c r="AG8" s="572"/>
      <c r="AH8" s="573"/>
    </row>
    <row r="9" spans="2:35" s="73" customFormat="1" ht="12.75" customHeight="1" x14ac:dyDescent="0.2">
      <c r="B9" s="567" t="str">
        <f>Opcion2</f>
        <v>Active la casilla para imprimir un Boletín de Inscripción vacío</v>
      </c>
      <c r="C9" s="568"/>
      <c r="D9" s="568"/>
      <c r="E9" s="568"/>
      <c r="F9" s="568"/>
      <c r="G9" s="568"/>
      <c r="H9" s="568"/>
      <c r="I9" s="568"/>
      <c r="J9" s="568"/>
      <c r="K9" s="568"/>
      <c r="L9" s="568"/>
      <c r="M9" s="568"/>
      <c r="N9" s="568"/>
      <c r="O9" s="80"/>
      <c r="Q9" s="574"/>
      <c r="R9" s="575"/>
      <c r="S9" s="575"/>
      <c r="T9" s="575"/>
      <c r="U9" s="575"/>
      <c r="V9" s="575"/>
      <c r="W9" s="575"/>
      <c r="X9" s="575"/>
      <c r="Y9" s="575"/>
      <c r="Z9" s="575"/>
      <c r="AA9" s="575"/>
      <c r="AB9" s="575"/>
      <c r="AC9" s="575"/>
      <c r="AD9" s="575"/>
      <c r="AE9" s="575"/>
      <c r="AF9" s="575"/>
      <c r="AG9" s="575"/>
      <c r="AH9" s="576"/>
    </row>
    <row r="10" spans="2:35" ht="9" customHeight="1" x14ac:dyDescent="0.2">
      <c r="B10" s="75"/>
      <c r="C10" s="76"/>
      <c r="D10" s="77"/>
      <c r="E10" s="78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  <row r="11" spans="2:35" ht="13.5" customHeight="1" x14ac:dyDescent="0.2">
      <c r="B11" s="17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7"/>
    </row>
    <row r="12" spans="2:35" ht="17.25" customHeight="1" x14ac:dyDescent="0.2">
      <c r="B12" s="40"/>
      <c r="C12" s="5"/>
      <c r="D12" s="5"/>
      <c r="E12" s="5"/>
      <c r="F12" s="5"/>
      <c r="G12" s="419">
        <f ca="1">NOW()</f>
        <v>44357.874780439815</v>
      </c>
      <c r="H12" s="419"/>
      <c r="I12" s="419"/>
      <c r="J12" s="419"/>
      <c r="K12" s="46"/>
      <c r="L12" s="302" t="s">
        <v>215</v>
      </c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46"/>
      <c r="AA12" s="46"/>
      <c r="AB12" s="46"/>
      <c r="AC12" s="46"/>
      <c r="AD12" s="46"/>
      <c r="AE12" s="46"/>
      <c r="AF12" s="46"/>
      <c r="AG12" s="46"/>
      <c r="AH12" s="41"/>
    </row>
    <row r="13" spans="2:35" ht="3" customHeight="1" x14ac:dyDescent="0.2">
      <c r="B13" s="40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41"/>
    </row>
    <row r="14" spans="2:35" ht="16.5" customHeight="1" x14ac:dyDescent="0.2">
      <c r="B14" s="40"/>
      <c r="C14" s="5"/>
      <c r="D14" s="5"/>
      <c r="E14" s="5"/>
      <c r="F14" s="5"/>
      <c r="G14" s="46"/>
      <c r="H14" s="46"/>
      <c r="I14" s="46"/>
      <c r="J14" s="46"/>
      <c r="K14" s="46"/>
      <c r="L14" s="351" t="s">
        <v>416</v>
      </c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46"/>
      <c r="AA14" s="46"/>
      <c r="AB14" s="46"/>
      <c r="AC14" s="46"/>
      <c r="AD14" s="46"/>
      <c r="AE14" s="46"/>
      <c r="AF14" s="46"/>
      <c r="AG14" s="46"/>
      <c r="AH14" s="41"/>
    </row>
    <row r="15" spans="2:35" ht="6.75" customHeight="1" x14ac:dyDescent="0.2">
      <c r="B15" s="40"/>
      <c r="C15" s="5"/>
      <c r="D15" s="5"/>
      <c r="E15" s="5"/>
      <c r="F15" s="5"/>
      <c r="G15" s="5"/>
      <c r="H15" s="128"/>
      <c r="I15" s="128"/>
      <c r="J15" s="128"/>
      <c r="K15" s="128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128"/>
      <c r="AA15" s="128"/>
      <c r="AB15" s="128"/>
      <c r="AC15" s="128"/>
      <c r="AD15" s="128"/>
      <c r="AE15" s="128"/>
      <c r="AF15" s="128"/>
      <c r="AG15" s="128"/>
      <c r="AH15" s="41"/>
    </row>
    <row r="16" spans="2:35" ht="2.25" customHeight="1" x14ac:dyDescent="0.2">
      <c r="B16" s="42">
        <v>3</v>
      </c>
      <c r="C16" s="5"/>
      <c r="D16" s="5"/>
      <c r="E16" s="5"/>
      <c r="F16" s="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1"/>
    </row>
    <row r="17" spans="2:34" ht="12" customHeight="1" x14ac:dyDescent="0.2">
      <c r="B17" s="42"/>
      <c r="C17" s="320" t="s">
        <v>21</v>
      </c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2"/>
      <c r="Y17" s="103"/>
      <c r="Z17" s="320" t="s">
        <v>191</v>
      </c>
      <c r="AA17" s="321"/>
      <c r="AB17" s="321"/>
      <c r="AC17" s="321"/>
      <c r="AD17" s="321"/>
      <c r="AE17" s="321"/>
      <c r="AF17" s="321"/>
      <c r="AG17" s="322"/>
      <c r="AH17" s="41"/>
    </row>
    <row r="18" spans="2:34" ht="6" customHeight="1" x14ac:dyDescent="0.2">
      <c r="B18" s="42"/>
      <c r="C18" s="401" t="str">
        <f>IF(Blanco=TRUE,"",' Derechos de Inscripción '!B18)</f>
        <v>VI Subida al Cerro de los Cañones</v>
      </c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3"/>
      <c r="Y18" s="103"/>
      <c r="Z18" s="407" t="str">
        <f>IF(Blanco=TRUE,"",' Derechos de Inscripción '!$D$16)</f>
        <v>10-11/07/2021</v>
      </c>
      <c r="AA18" s="408"/>
      <c r="AB18" s="408"/>
      <c r="AC18" s="408"/>
      <c r="AD18" s="408"/>
      <c r="AE18" s="408"/>
      <c r="AF18" s="408"/>
      <c r="AG18" s="409"/>
      <c r="AH18" s="41"/>
    </row>
    <row r="19" spans="2:34" ht="12" customHeight="1" x14ac:dyDescent="0.2">
      <c r="B19" s="42"/>
      <c r="C19" s="404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6"/>
      <c r="Y19" s="103"/>
      <c r="Z19" s="410"/>
      <c r="AA19" s="411"/>
      <c r="AB19" s="411"/>
      <c r="AC19" s="411"/>
      <c r="AD19" s="411"/>
      <c r="AE19" s="411"/>
      <c r="AF19" s="411"/>
      <c r="AG19" s="412"/>
      <c r="AH19" s="41"/>
    </row>
    <row r="20" spans="2:34" ht="6" customHeight="1" x14ac:dyDescent="0.2">
      <c r="B20" s="42"/>
      <c r="C20" s="22"/>
      <c r="D20" s="22"/>
      <c r="E20" s="22"/>
      <c r="F20" s="22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22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41"/>
    </row>
    <row r="21" spans="2:34" ht="20.100000000000001" customHeight="1" x14ac:dyDescent="0.15">
      <c r="B21" s="40"/>
      <c r="C21" s="561" t="str">
        <f>IF(Blanco=TRUE,"",' Derechos de Inscripción '!D21)</f>
        <v>ESC. CERRO DE LOS CAÑONES</v>
      </c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3"/>
      <c r="Q21" s="5"/>
      <c r="R21" s="515" t="s">
        <v>173</v>
      </c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7"/>
      <c r="AH21" s="41"/>
    </row>
    <row r="22" spans="2:34" ht="6.75" customHeight="1" x14ac:dyDescent="0.2">
      <c r="B22" s="40"/>
      <c r="C22" s="509" t="str">
        <f>IF(Blanco=TRUE,"",' Derechos de Inscripción '!D22)</f>
        <v>CALLE HUERTOS, 47 , BAJO</v>
      </c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1"/>
      <c r="Q22" s="5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41"/>
    </row>
    <row r="23" spans="2:34" ht="6.75" customHeight="1" x14ac:dyDescent="0.2">
      <c r="B23" s="40"/>
      <c r="C23" s="509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10"/>
      <c r="O23" s="510"/>
      <c r="P23" s="511"/>
      <c r="Q23" s="5"/>
      <c r="R23" s="389" t="s">
        <v>174</v>
      </c>
      <c r="S23" s="390"/>
      <c r="T23" s="390"/>
      <c r="U23" s="390"/>
      <c r="V23" s="390"/>
      <c r="W23" s="390"/>
      <c r="X23" s="390"/>
      <c r="Y23" s="390"/>
      <c r="Z23" s="391"/>
      <c r="AA23" s="520" t="s">
        <v>175</v>
      </c>
      <c r="AB23" s="521"/>
      <c r="AC23" s="521"/>
      <c r="AD23" s="522"/>
      <c r="AE23" s="389" t="s">
        <v>179</v>
      </c>
      <c r="AF23" s="390"/>
      <c r="AG23" s="391"/>
      <c r="AH23" s="41"/>
    </row>
    <row r="24" spans="2:34" ht="6.75" customHeight="1" x14ac:dyDescent="0.2">
      <c r="B24" s="40"/>
      <c r="C24" s="512" t="str">
        <f>IF(Blanco=TRUE,"",IF(TEXT(' Derechos de Inscripción '!D23,"00000")=" ","",TEXT(' Derechos de Inscripción '!D23,"00000")&amp;"-"&amp;' Derechos de Inscripción '!F23&amp;" "&amp;' Derechos de Inscripción '!D24))</f>
        <v>18420-LANJARÓN (GRANADA)</v>
      </c>
      <c r="D24" s="513"/>
      <c r="E24" s="513"/>
      <c r="F24" s="513"/>
      <c r="G24" s="513"/>
      <c r="H24" s="513"/>
      <c r="I24" s="513"/>
      <c r="J24" s="513"/>
      <c r="K24" s="513"/>
      <c r="L24" s="513"/>
      <c r="M24" s="513"/>
      <c r="N24" s="513"/>
      <c r="O24" s="513"/>
      <c r="P24" s="514"/>
      <c r="Q24" s="5"/>
      <c r="R24" s="392"/>
      <c r="S24" s="393"/>
      <c r="T24" s="393"/>
      <c r="U24" s="393"/>
      <c r="V24" s="393"/>
      <c r="W24" s="393"/>
      <c r="X24" s="393"/>
      <c r="Y24" s="393"/>
      <c r="Z24" s="394"/>
      <c r="AA24" s="523"/>
      <c r="AB24" s="524"/>
      <c r="AC24" s="524"/>
      <c r="AD24" s="525"/>
      <c r="AE24" s="392"/>
      <c r="AF24" s="393"/>
      <c r="AG24" s="394"/>
      <c r="AH24" s="41"/>
    </row>
    <row r="25" spans="2:34" ht="6.75" customHeight="1" x14ac:dyDescent="0.2">
      <c r="B25" s="40"/>
      <c r="C25" s="512"/>
      <c r="D25" s="513"/>
      <c r="E25" s="513"/>
      <c r="F25" s="513"/>
      <c r="G25" s="513"/>
      <c r="H25" s="513"/>
      <c r="I25" s="513"/>
      <c r="J25" s="513"/>
      <c r="K25" s="513"/>
      <c r="L25" s="513"/>
      <c r="M25" s="513"/>
      <c r="N25" s="513"/>
      <c r="O25" s="513"/>
      <c r="P25" s="514"/>
      <c r="Q25" s="5"/>
      <c r="R25" s="539" t="s">
        <v>176</v>
      </c>
      <c r="S25" s="540"/>
      <c r="T25" s="540"/>
      <c r="U25" s="540"/>
      <c r="V25" s="503"/>
      <c r="W25" s="503"/>
      <c r="X25" s="503"/>
      <c r="Y25" s="503"/>
      <c r="Z25" s="504"/>
      <c r="AA25" s="545"/>
      <c r="AB25" s="546"/>
      <c r="AC25" s="546"/>
      <c r="AD25" s="547"/>
      <c r="AE25" s="526"/>
      <c r="AF25" s="527"/>
      <c r="AG25" s="528"/>
      <c r="AH25" s="41"/>
    </row>
    <row r="26" spans="2:34" ht="6.75" customHeight="1" x14ac:dyDescent="0.2">
      <c r="B26" s="40"/>
      <c r="C26" s="509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958 772 150 - FAX: 0</v>
      </c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11"/>
      <c r="Q26" s="5"/>
      <c r="R26" s="541"/>
      <c r="S26" s="542"/>
      <c r="T26" s="542"/>
      <c r="U26" s="542"/>
      <c r="V26" s="505"/>
      <c r="W26" s="505"/>
      <c r="X26" s="505"/>
      <c r="Y26" s="505"/>
      <c r="Z26" s="506"/>
      <c r="AA26" s="526"/>
      <c r="AB26" s="527"/>
      <c r="AC26" s="527"/>
      <c r="AD26" s="528"/>
      <c r="AE26" s="526"/>
      <c r="AF26" s="527"/>
      <c r="AG26" s="528"/>
      <c r="AH26" s="41"/>
    </row>
    <row r="27" spans="2:34" ht="6.75" customHeight="1" x14ac:dyDescent="0.2">
      <c r="B27" s="40"/>
      <c r="C27" s="509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1"/>
      <c r="Q27" s="5"/>
      <c r="R27" s="543"/>
      <c r="S27" s="544"/>
      <c r="T27" s="544"/>
      <c r="U27" s="544"/>
      <c r="V27" s="507"/>
      <c r="W27" s="507"/>
      <c r="X27" s="507"/>
      <c r="Y27" s="507"/>
      <c r="Z27" s="508"/>
      <c r="AA27" s="526"/>
      <c r="AB27" s="527"/>
      <c r="AC27" s="527"/>
      <c r="AD27" s="528"/>
      <c r="AE27" s="526"/>
      <c r="AF27" s="527"/>
      <c r="AG27" s="528"/>
      <c r="AH27" s="41"/>
    </row>
    <row r="28" spans="2:34" ht="6.75" customHeight="1" x14ac:dyDescent="0.2">
      <c r="B28" s="40"/>
      <c r="C28" s="548" t="str">
        <f>IF(Blanco=TRUE,"","e_mail: " &amp; ' Derechos de Inscripción '!H25)</f>
        <v>e_mail: inscripciones.subidalanjaron@gmail.com</v>
      </c>
      <c r="D28" s="549"/>
      <c r="E28" s="549"/>
      <c r="F28" s="549"/>
      <c r="G28" s="549"/>
      <c r="H28" s="549"/>
      <c r="I28" s="549"/>
      <c r="J28" s="549"/>
      <c r="K28" s="549"/>
      <c r="L28" s="549"/>
      <c r="M28" s="549"/>
      <c r="N28" s="549"/>
      <c r="O28" s="549"/>
      <c r="P28" s="550"/>
      <c r="Q28" s="5"/>
      <c r="R28" s="554" t="s">
        <v>177</v>
      </c>
      <c r="S28" s="555"/>
      <c r="T28" s="555"/>
      <c r="U28" s="555"/>
      <c r="V28" s="532"/>
      <c r="W28" s="533"/>
      <c r="X28" s="533"/>
      <c r="Y28" s="533"/>
      <c r="Z28" s="534"/>
      <c r="AA28" s="526"/>
      <c r="AB28" s="527"/>
      <c r="AC28" s="527"/>
      <c r="AD28" s="528"/>
      <c r="AE28" s="526"/>
      <c r="AF28" s="527"/>
      <c r="AG28" s="528"/>
      <c r="AH28" s="41"/>
    </row>
    <row r="29" spans="2:34" ht="6" customHeight="1" x14ac:dyDescent="0.2">
      <c r="B29" s="40"/>
      <c r="C29" s="548"/>
      <c r="D29" s="549"/>
      <c r="E29" s="549"/>
      <c r="F29" s="549"/>
      <c r="G29" s="549"/>
      <c r="H29" s="549"/>
      <c r="I29" s="549"/>
      <c r="J29" s="549"/>
      <c r="K29" s="549"/>
      <c r="L29" s="549"/>
      <c r="M29" s="549"/>
      <c r="N29" s="549"/>
      <c r="O29" s="549"/>
      <c r="P29" s="550"/>
      <c r="Q29" s="5"/>
      <c r="R29" s="556"/>
      <c r="S29" s="557"/>
      <c r="T29" s="557"/>
      <c r="U29" s="557"/>
      <c r="V29" s="535"/>
      <c r="W29" s="535"/>
      <c r="X29" s="535"/>
      <c r="Y29" s="535"/>
      <c r="Z29" s="536"/>
      <c r="AA29" s="526"/>
      <c r="AB29" s="527"/>
      <c r="AC29" s="527"/>
      <c r="AD29" s="528"/>
      <c r="AE29" s="526"/>
      <c r="AF29" s="527"/>
      <c r="AG29" s="528"/>
      <c r="AH29" s="41"/>
    </row>
    <row r="30" spans="2:34" ht="6" customHeight="1" x14ac:dyDescent="0.2">
      <c r="B30" s="40"/>
      <c r="C30" s="551"/>
      <c r="D30" s="552"/>
      <c r="E30" s="552"/>
      <c r="F30" s="552"/>
      <c r="G30" s="552"/>
      <c r="H30" s="552"/>
      <c r="I30" s="552"/>
      <c r="J30" s="552"/>
      <c r="K30" s="552"/>
      <c r="L30" s="552"/>
      <c r="M30" s="552"/>
      <c r="N30" s="552"/>
      <c r="O30" s="552"/>
      <c r="P30" s="553"/>
      <c r="Q30" s="5"/>
      <c r="R30" s="558"/>
      <c r="S30" s="559"/>
      <c r="T30" s="559"/>
      <c r="U30" s="559"/>
      <c r="V30" s="537"/>
      <c r="W30" s="537"/>
      <c r="X30" s="537"/>
      <c r="Y30" s="537"/>
      <c r="Z30" s="538"/>
      <c r="AA30" s="529"/>
      <c r="AB30" s="530"/>
      <c r="AC30" s="530"/>
      <c r="AD30" s="531"/>
      <c r="AE30" s="529"/>
      <c r="AF30" s="530"/>
      <c r="AG30" s="531"/>
      <c r="AH30" s="41"/>
    </row>
    <row r="31" spans="2:34" ht="3.75" customHeight="1" x14ac:dyDescent="0.2">
      <c r="B31" s="4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41"/>
    </row>
    <row r="32" spans="2:34" ht="20.100000000000001" customHeight="1" x14ac:dyDescent="0.2">
      <c r="B32" s="40"/>
      <c r="C32" s="461" t="s">
        <v>0</v>
      </c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462"/>
      <c r="Q32" s="462"/>
      <c r="R32" s="462"/>
      <c r="S32" s="462"/>
      <c r="T32" s="462"/>
      <c r="U32" s="462"/>
      <c r="V32" s="462"/>
      <c r="W32" s="462"/>
      <c r="X32" s="462"/>
      <c r="Y32" s="462"/>
      <c r="Z32" s="462"/>
      <c r="AA32" s="462"/>
      <c r="AB32" s="462"/>
      <c r="AC32" s="462"/>
      <c r="AD32" s="462"/>
      <c r="AE32" s="462"/>
      <c r="AF32" s="462"/>
      <c r="AG32" s="463"/>
      <c r="AH32" s="41"/>
    </row>
    <row r="33" spans="2:34" ht="3.75" customHeight="1" x14ac:dyDescent="0.2">
      <c r="B33" s="40"/>
      <c r="C33" s="14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41"/>
    </row>
    <row r="34" spans="2:34" ht="12" hidden="1" customHeight="1" x14ac:dyDescent="0.2">
      <c r="B34" s="40"/>
      <c r="C34" s="494" t="s">
        <v>318</v>
      </c>
      <c r="D34" s="98" t="s">
        <v>186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0"/>
      <c r="AH34" s="41"/>
    </row>
    <row r="35" spans="2:34" ht="12" hidden="1" customHeight="1" x14ac:dyDescent="0.2">
      <c r="B35" s="40"/>
      <c r="C35" s="494"/>
      <c r="D35" s="9" t="s">
        <v>57</v>
      </c>
      <c r="E35" s="5"/>
      <c r="F35" s="5"/>
      <c r="G35" s="5"/>
      <c r="H35" s="5"/>
      <c r="I35" s="5"/>
      <c r="J35" s="5"/>
      <c r="K35" s="5"/>
      <c r="L35" s="17" t="s">
        <v>58</v>
      </c>
      <c r="M35" s="5"/>
      <c r="N35" s="5"/>
      <c r="O35" s="5"/>
      <c r="P35" s="5"/>
      <c r="Q35" s="11"/>
      <c r="R35" s="5"/>
      <c r="S35" s="5"/>
      <c r="T35" s="5"/>
      <c r="U35" s="10"/>
      <c r="V35" s="17" t="s">
        <v>1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  <c r="AH35" s="41"/>
    </row>
    <row r="36" spans="2:34" ht="18" hidden="1" customHeight="1" x14ac:dyDescent="0.2">
      <c r="B36" s="40"/>
      <c r="C36" s="494"/>
      <c r="D36" s="491" t="s">
        <v>217</v>
      </c>
      <c r="E36" s="436"/>
      <c r="F36" s="436"/>
      <c r="G36" s="436"/>
      <c r="H36" s="436"/>
      <c r="I36" s="436"/>
      <c r="J36" s="436"/>
      <c r="K36" s="436"/>
      <c r="L36" s="435" t="s">
        <v>218</v>
      </c>
      <c r="M36" s="436"/>
      <c r="N36" s="436"/>
      <c r="O36" s="436"/>
      <c r="P36" s="436"/>
      <c r="Q36" s="436"/>
      <c r="R36" s="436"/>
      <c r="S36" s="436"/>
      <c r="T36" s="436"/>
      <c r="U36" s="437"/>
      <c r="V36" s="435" t="s">
        <v>219</v>
      </c>
      <c r="W36" s="436"/>
      <c r="X36" s="436"/>
      <c r="Y36" s="436"/>
      <c r="Z36" s="436"/>
      <c r="AA36" s="436"/>
      <c r="AB36" s="436"/>
      <c r="AC36" s="436"/>
      <c r="AD36" s="436"/>
      <c r="AE36" s="436"/>
      <c r="AF36" s="436"/>
      <c r="AG36" s="492"/>
      <c r="AH36" s="41"/>
    </row>
    <row r="37" spans="2:34" ht="12" hidden="1" customHeight="1" x14ac:dyDescent="0.2">
      <c r="B37" s="40"/>
      <c r="C37" s="494"/>
      <c r="D37" s="98" t="s">
        <v>187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100"/>
      <c r="AH37" s="41"/>
    </row>
    <row r="38" spans="2:34" ht="12" customHeight="1" x14ac:dyDescent="0.2">
      <c r="B38" s="40"/>
      <c r="C38" s="494"/>
      <c r="D38" s="142" t="s">
        <v>316</v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43"/>
      <c r="Q38" s="144" t="s">
        <v>188</v>
      </c>
      <c r="R38" s="144"/>
      <c r="S38" s="144"/>
      <c r="T38" s="144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100"/>
      <c r="AH38" s="41"/>
    </row>
    <row r="39" spans="2:34" ht="18" customHeight="1" x14ac:dyDescent="0.2">
      <c r="B39" s="40"/>
      <c r="C39" s="494"/>
      <c r="D39" s="501"/>
      <c r="E39" s="502"/>
      <c r="F39" s="502"/>
      <c r="G39" s="502"/>
      <c r="H39" s="502"/>
      <c r="I39" s="502"/>
      <c r="J39" s="502"/>
      <c r="K39" s="502"/>
      <c r="L39" s="502"/>
      <c r="M39" s="502"/>
      <c r="N39" s="502"/>
      <c r="O39" s="502"/>
      <c r="P39" s="502"/>
      <c r="Q39" s="484"/>
      <c r="R39" s="484"/>
      <c r="S39" s="484"/>
      <c r="T39" s="484"/>
      <c r="U39" s="484"/>
      <c r="V39" s="484"/>
      <c r="W39" s="484"/>
      <c r="X39" s="484"/>
      <c r="Y39" s="484"/>
      <c r="Z39" s="484"/>
      <c r="AA39" s="484"/>
      <c r="AB39" s="484"/>
      <c r="AC39" s="484"/>
      <c r="AD39" s="484"/>
      <c r="AE39" s="484"/>
      <c r="AF39" s="484"/>
      <c r="AG39" s="519"/>
      <c r="AH39" s="41"/>
    </row>
    <row r="40" spans="2:34" ht="12" customHeight="1" x14ac:dyDescent="0.2">
      <c r="B40" s="40"/>
      <c r="C40" s="494"/>
      <c r="D40" s="21" t="s">
        <v>2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3"/>
      <c r="Q40" s="26" t="s">
        <v>3</v>
      </c>
      <c r="R40" s="26"/>
      <c r="S40" s="26"/>
      <c r="T40" s="26"/>
      <c r="U40" s="27"/>
      <c r="V40" s="28" t="s">
        <v>4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30"/>
      <c r="AH40" s="41"/>
    </row>
    <row r="41" spans="2:34" ht="18" customHeight="1" x14ac:dyDescent="0.2">
      <c r="B41" s="40"/>
      <c r="C41" s="494"/>
      <c r="D41" s="491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7"/>
      <c r="Q41" s="497"/>
      <c r="R41" s="497"/>
      <c r="S41" s="497"/>
      <c r="T41" s="497"/>
      <c r="U41" s="498"/>
      <c r="V41" s="435"/>
      <c r="W41" s="436"/>
      <c r="X41" s="436"/>
      <c r="Y41" s="436"/>
      <c r="Z41" s="436"/>
      <c r="AA41" s="436"/>
      <c r="AB41" s="436"/>
      <c r="AC41" s="436"/>
      <c r="AD41" s="436"/>
      <c r="AE41" s="436"/>
      <c r="AF41" s="436"/>
      <c r="AG41" s="492"/>
      <c r="AH41" s="41"/>
    </row>
    <row r="42" spans="2:34" ht="15" customHeight="1" x14ac:dyDescent="0.2">
      <c r="B42" s="40"/>
      <c r="C42" s="494"/>
      <c r="D42" s="31" t="s">
        <v>5</v>
      </c>
      <c r="E42" s="32"/>
      <c r="F42" s="32"/>
      <c r="G42" s="32"/>
      <c r="H42" s="32"/>
      <c r="I42" s="27"/>
      <c r="J42" s="26" t="s">
        <v>6</v>
      </c>
      <c r="K42" s="32"/>
      <c r="L42" s="32"/>
      <c r="M42" s="32"/>
      <c r="N42" s="32"/>
      <c r="O42" s="32"/>
      <c r="P42" s="27"/>
      <c r="Q42" s="26" t="s">
        <v>8</v>
      </c>
      <c r="R42" s="32"/>
      <c r="S42" s="32"/>
      <c r="T42" s="32"/>
      <c r="U42" s="32"/>
      <c r="V42" s="32"/>
      <c r="W42" s="32"/>
      <c r="X42" s="32"/>
      <c r="Y42" s="28" t="s">
        <v>7</v>
      </c>
      <c r="Z42" s="26"/>
      <c r="AA42" s="32"/>
      <c r="AB42" s="32"/>
      <c r="AC42" s="27"/>
      <c r="AD42" s="26" t="s">
        <v>9</v>
      </c>
      <c r="AE42" s="26"/>
      <c r="AF42" s="32"/>
      <c r="AG42" s="33"/>
      <c r="AH42" s="41"/>
    </row>
    <row r="43" spans="2:34" ht="18" customHeight="1" x14ac:dyDescent="0.2">
      <c r="B43" s="40"/>
      <c r="C43" s="494"/>
      <c r="D43" s="491"/>
      <c r="E43" s="436"/>
      <c r="F43" s="436"/>
      <c r="G43" s="436"/>
      <c r="H43" s="436"/>
      <c r="I43" s="437"/>
      <c r="J43" s="435"/>
      <c r="K43" s="436"/>
      <c r="L43" s="436"/>
      <c r="M43" s="436"/>
      <c r="N43" s="436"/>
      <c r="O43" s="436"/>
      <c r="P43" s="437"/>
      <c r="Q43" s="499"/>
      <c r="R43" s="478"/>
      <c r="S43" s="478"/>
      <c r="T43" s="478"/>
      <c r="U43" s="478"/>
      <c r="V43" s="478"/>
      <c r="W43" s="478"/>
      <c r="X43" s="500"/>
      <c r="Y43" s="444"/>
      <c r="Z43" s="445"/>
      <c r="AA43" s="445"/>
      <c r="AB43" s="445"/>
      <c r="AC43" s="446"/>
      <c r="AD43" s="495"/>
      <c r="AE43" s="495"/>
      <c r="AF43" s="495"/>
      <c r="AG43" s="496"/>
      <c r="AH43" s="41"/>
    </row>
    <row r="44" spans="2:34" ht="15" customHeight="1" x14ac:dyDescent="0.2">
      <c r="B44" s="40"/>
      <c r="C44" s="494"/>
      <c r="D44" s="21" t="s">
        <v>10</v>
      </c>
      <c r="E44" s="22"/>
      <c r="F44" s="22"/>
      <c r="G44" s="22"/>
      <c r="H44" s="23"/>
      <c r="I44" s="34" t="s">
        <v>10</v>
      </c>
      <c r="J44" s="22"/>
      <c r="K44" s="22"/>
      <c r="L44" s="22"/>
      <c r="M44" s="23"/>
      <c r="N44" s="34" t="s">
        <v>11</v>
      </c>
      <c r="O44" s="22"/>
      <c r="P44" s="22"/>
      <c r="Q44" s="22"/>
      <c r="R44" s="22"/>
      <c r="S44" s="22"/>
      <c r="T44" s="22"/>
      <c r="U44" s="23"/>
      <c r="V44" s="24" t="s">
        <v>12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5"/>
      <c r="AH44" s="41"/>
    </row>
    <row r="45" spans="2:34" ht="18" customHeight="1" x14ac:dyDescent="0.2">
      <c r="B45" s="40"/>
      <c r="C45" s="494"/>
      <c r="D45" s="518"/>
      <c r="E45" s="486"/>
      <c r="F45" s="486"/>
      <c r="G45" s="486"/>
      <c r="H45" s="487"/>
      <c r="I45" s="485"/>
      <c r="J45" s="486"/>
      <c r="K45" s="486"/>
      <c r="L45" s="486"/>
      <c r="M45" s="487"/>
      <c r="N45" s="485"/>
      <c r="O45" s="486"/>
      <c r="P45" s="486"/>
      <c r="Q45" s="486"/>
      <c r="R45" s="486"/>
      <c r="S45" s="486"/>
      <c r="T45" s="486"/>
      <c r="U45" s="487"/>
      <c r="V45" s="438"/>
      <c r="W45" s="439"/>
      <c r="X45" s="439"/>
      <c r="Y45" s="439"/>
      <c r="Z45" s="439"/>
      <c r="AA45" s="439"/>
      <c r="AB45" s="439"/>
      <c r="AC45" s="439"/>
      <c r="AD45" s="439"/>
      <c r="AE45" s="439"/>
      <c r="AF45" s="439"/>
      <c r="AG45" s="440"/>
      <c r="AH45" s="41"/>
    </row>
    <row r="46" spans="2:34" ht="3.75" customHeight="1" x14ac:dyDescent="0.2">
      <c r="B46" s="4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41"/>
    </row>
    <row r="47" spans="2:34" ht="12" customHeight="1" x14ac:dyDescent="0.2">
      <c r="B47" s="40"/>
      <c r="C47" s="480" t="s">
        <v>189</v>
      </c>
      <c r="D47" s="18" t="s">
        <v>57</v>
      </c>
      <c r="E47" s="7"/>
      <c r="F47" s="7"/>
      <c r="G47" s="7"/>
      <c r="H47" s="7"/>
      <c r="I47" s="7"/>
      <c r="J47" s="7"/>
      <c r="K47" s="7"/>
      <c r="L47" s="81" t="s">
        <v>58</v>
      </c>
      <c r="M47" s="7"/>
      <c r="N47" s="7"/>
      <c r="O47" s="7"/>
      <c r="P47" s="7"/>
      <c r="Q47" s="19"/>
      <c r="R47" s="7"/>
      <c r="S47" s="7"/>
      <c r="T47" s="7"/>
      <c r="U47" s="8"/>
      <c r="V47" s="81" t="s">
        <v>1</v>
      </c>
      <c r="W47" s="7"/>
      <c r="X47" s="7"/>
      <c r="Y47" s="7"/>
      <c r="Z47" s="7"/>
      <c r="AA47" s="7"/>
      <c r="AB47" s="7"/>
      <c r="AC47" s="7"/>
      <c r="AD47" s="7"/>
      <c r="AE47" s="7"/>
      <c r="AF47" s="345" t="s">
        <v>357</v>
      </c>
      <c r="AG47" s="346"/>
      <c r="AH47" s="41"/>
    </row>
    <row r="48" spans="2:34" ht="18" customHeight="1" x14ac:dyDescent="0.2">
      <c r="B48" s="40"/>
      <c r="C48" s="481"/>
      <c r="D48" s="501"/>
      <c r="E48" s="502"/>
      <c r="F48" s="502"/>
      <c r="G48" s="502"/>
      <c r="H48" s="502"/>
      <c r="I48" s="502"/>
      <c r="J48" s="502"/>
      <c r="K48" s="502"/>
      <c r="L48" s="342"/>
      <c r="M48" s="343"/>
      <c r="N48" s="343"/>
      <c r="O48" s="343"/>
      <c r="P48" s="343"/>
      <c r="Q48" s="343"/>
      <c r="R48" s="343"/>
      <c r="S48" s="343"/>
      <c r="T48" s="343"/>
      <c r="U48" s="493"/>
      <c r="V48" s="342"/>
      <c r="W48" s="343"/>
      <c r="X48" s="343"/>
      <c r="Y48" s="343"/>
      <c r="Z48" s="343"/>
      <c r="AA48" s="343"/>
      <c r="AB48" s="343"/>
      <c r="AC48" s="343"/>
      <c r="AD48" s="343"/>
      <c r="AE48" s="343"/>
      <c r="AF48" s="342"/>
      <c r="AG48" s="344"/>
      <c r="AH48" s="41"/>
    </row>
    <row r="49" spans="2:34" ht="12" customHeight="1" x14ac:dyDescent="0.2">
      <c r="B49" s="40"/>
      <c r="C49" s="481"/>
      <c r="D49" s="9" t="s">
        <v>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0"/>
      <c r="Q49" s="12" t="s">
        <v>3</v>
      </c>
      <c r="R49" s="12"/>
      <c r="S49" s="12"/>
      <c r="T49" s="12"/>
      <c r="U49" s="13"/>
      <c r="V49" s="14" t="s">
        <v>4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6"/>
      <c r="AH49" s="41"/>
    </row>
    <row r="50" spans="2:34" ht="18" customHeight="1" x14ac:dyDescent="0.2">
      <c r="B50" s="40"/>
      <c r="C50" s="481"/>
      <c r="D50" s="491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7"/>
      <c r="Q50" s="497"/>
      <c r="R50" s="497"/>
      <c r="S50" s="497"/>
      <c r="T50" s="497"/>
      <c r="U50" s="498"/>
      <c r="V50" s="435"/>
      <c r="W50" s="436"/>
      <c r="X50" s="436"/>
      <c r="Y50" s="436"/>
      <c r="Z50" s="436"/>
      <c r="AA50" s="436"/>
      <c r="AB50" s="436"/>
      <c r="AC50" s="436"/>
      <c r="AD50" s="436"/>
      <c r="AE50" s="436"/>
      <c r="AF50" s="436"/>
      <c r="AG50" s="492"/>
      <c r="AH50" s="41"/>
    </row>
    <row r="51" spans="2:34" ht="15" customHeight="1" x14ac:dyDescent="0.2">
      <c r="B51" s="40"/>
      <c r="C51" s="481"/>
      <c r="D51" s="31" t="s">
        <v>5</v>
      </c>
      <c r="E51" s="32"/>
      <c r="F51" s="32"/>
      <c r="G51" s="32"/>
      <c r="H51" s="32"/>
      <c r="I51" s="27"/>
      <c r="J51" s="26" t="s">
        <v>6</v>
      </c>
      <c r="K51" s="32"/>
      <c r="L51" s="32"/>
      <c r="M51" s="32"/>
      <c r="N51" s="32"/>
      <c r="O51" s="32"/>
      <c r="P51" s="27"/>
      <c r="Q51" s="26" t="s">
        <v>190</v>
      </c>
      <c r="R51" s="32"/>
      <c r="S51" s="32"/>
      <c r="T51" s="32"/>
      <c r="U51" s="32"/>
      <c r="V51" s="32"/>
      <c r="W51" s="32"/>
      <c r="X51" s="32"/>
      <c r="Y51" s="28" t="s">
        <v>7</v>
      </c>
      <c r="Z51" s="26"/>
      <c r="AA51" s="32"/>
      <c r="AB51" s="32"/>
      <c r="AC51" s="27"/>
      <c r="AD51" s="347" t="s">
        <v>323</v>
      </c>
      <c r="AE51" s="348"/>
      <c r="AF51" s="348"/>
      <c r="AG51" s="349"/>
      <c r="AH51" s="41"/>
    </row>
    <row r="52" spans="2:34" ht="18" customHeight="1" x14ac:dyDescent="0.2">
      <c r="B52" s="40"/>
      <c r="C52" s="481"/>
      <c r="D52" s="491"/>
      <c r="E52" s="436"/>
      <c r="F52" s="436"/>
      <c r="G52" s="436"/>
      <c r="H52" s="436"/>
      <c r="I52" s="437"/>
      <c r="J52" s="435"/>
      <c r="K52" s="436"/>
      <c r="L52" s="436"/>
      <c r="M52" s="436"/>
      <c r="N52" s="436"/>
      <c r="O52" s="436"/>
      <c r="P52" s="437"/>
      <c r="Q52" s="483"/>
      <c r="R52" s="484"/>
      <c r="S52" s="484"/>
      <c r="T52" s="484"/>
      <c r="U52" s="484"/>
      <c r="V52" s="484"/>
      <c r="W52" s="484"/>
      <c r="X52" s="484"/>
      <c r="Y52" s="483"/>
      <c r="Z52" s="484"/>
      <c r="AA52" s="484"/>
      <c r="AB52" s="484"/>
      <c r="AC52" s="484"/>
      <c r="AD52" s="350"/>
      <c r="AE52" s="350"/>
      <c r="AF52" s="350"/>
      <c r="AG52" s="234" t="str">
        <f>IF($AD$52&gt;=$AH$119,"JR","")</f>
        <v/>
      </c>
      <c r="AH52" s="41"/>
    </row>
    <row r="53" spans="2:34" ht="15" customHeight="1" x14ac:dyDescent="0.2">
      <c r="B53" s="40"/>
      <c r="C53" s="481"/>
      <c r="D53" s="21" t="s">
        <v>10</v>
      </c>
      <c r="E53" s="22"/>
      <c r="F53" s="22"/>
      <c r="G53" s="22"/>
      <c r="H53" s="23"/>
      <c r="I53" s="34" t="s">
        <v>10</v>
      </c>
      <c r="J53" s="22"/>
      <c r="K53" s="22"/>
      <c r="L53" s="22"/>
      <c r="M53" s="23"/>
      <c r="N53" s="34" t="s">
        <v>11</v>
      </c>
      <c r="O53" s="22"/>
      <c r="P53" s="22"/>
      <c r="Q53" s="22"/>
      <c r="R53" s="22"/>
      <c r="S53" s="22"/>
      <c r="T53" s="22"/>
      <c r="U53" s="23"/>
      <c r="V53" s="24" t="s">
        <v>12</v>
      </c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5"/>
      <c r="AH53" s="41"/>
    </row>
    <row r="54" spans="2:34" ht="18" customHeight="1" x14ac:dyDescent="0.2">
      <c r="B54" s="40"/>
      <c r="C54" s="482"/>
      <c r="D54" s="441"/>
      <c r="E54" s="442"/>
      <c r="F54" s="442"/>
      <c r="G54" s="442"/>
      <c r="H54" s="443"/>
      <c r="I54" s="485"/>
      <c r="J54" s="486"/>
      <c r="K54" s="486"/>
      <c r="L54" s="486"/>
      <c r="M54" s="487"/>
      <c r="N54" s="485"/>
      <c r="O54" s="486"/>
      <c r="P54" s="486"/>
      <c r="Q54" s="486"/>
      <c r="R54" s="486"/>
      <c r="S54" s="486"/>
      <c r="T54" s="486"/>
      <c r="U54" s="487"/>
      <c r="V54" s="438"/>
      <c r="W54" s="439"/>
      <c r="X54" s="439"/>
      <c r="Y54" s="439"/>
      <c r="Z54" s="439"/>
      <c r="AA54" s="439"/>
      <c r="AB54" s="439"/>
      <c r="AC54" s="439"/>
      <c r="AD54" s="439"/>
      <c r="AE54" s="439"/>
      <c r="AF54" s="439"/>
      <c r="AG54" s="440"/>
      <c r="AH54" s="41"/>
    </row>
    <row r="55" spans="2:34" ht="3.75" customHeight="1" x14ac:dyDescent="0.2">
      <c r="B55" s="4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41"/>
    </row>
    <row r="56" spans="2:34" ht="12" hidden="1" customHeight="1" x14ac:dyDescent="0.2">
      <c r="B56" s="40"/>
      <c r="C56" s="480" t="s">
        <v>231</v>
      </c>
      <c r="D56" s="18" t="s">
        <v>57</v>
      </c>
      <c r="E56" s="7"/>
      <c r="F56" s="7"/>
      <c r="G56" s="7"/>
      <c r="H56" s="7"/>
      <c r="I56" s="7"/>
      <c r="J56" s="7"/>
      <c r="K56" s="7"/>
      <c r="L56" s="81" t="s">
        <v>58</v>
      </c>
      <c r="M56" s="7"/>
      <c r="N56" s="7"/>
      <c r="O56" s="7"/>
      <c r="P56" s="7"/>
      <c r="Q56" s="19"/>
      <c r="R56" s="7"/>
      <c r="S56" s="7"/>
      <c r="T56" s="7"/>
      <c r="U56" s="8"/>
      <c r="V56" s="81" t="s">
        <v>1</v>
      </c>
      <c r="W56" s="7"/>
      <c r="X56" s="7"/>
      <c r="Y56" s="7"/>
      <c r="Z56" s="7"/>
      <c r="AA56" s="7"/>
      <c r="AB56" s="7"/>
      <c r="AC56" s="7"/>
      <c r="AD56" s="7"/>
      <c r="AE56" s="7"/>
      <c r="AF56" s="345" t="s">
        <v>357</v>
      </c>
      <c r="AG56" s="346"/>
      <c r="AH56" s="41"/>
    </row>
    <row r="57" spans="2:34" ht="18" hidden="1" customHeight="1" x14ac:dyDescent="0.2">
      <c r="B57" s="40"/>
      <c r="C57" s="481"/>
      <c r="D57" s="483"/>
      <c r="E57" s="484"/>
      <c r="F57" s="484"/>
      <c r="G57" s="484"/>
      <c r="H57" s="484"/>
      <c r="I57" s="484"/>
      <c r="J57" s="484"/>
      <c r="K57" s="484"/>
      <c r="L57" s="342"/>
      <c r="M57" s="343"/>
      <c r="N57" s="343"/>
      <c r="O57" s="343"/>
      <c r="P57" s="343"/>
      <c r="Q57" s="343"/>
      <c r="R57" s="343"/>
      <c r="S57" s="343"/>
      <c r="T57" s="343"/>
      <c r="U57" s="493"/>
      <c r="V57" s="342"/>
      <c r="W57" s="343"/>
      <c r="X57" s="343"/>
      <c r="Y57" s="343"/>
      <c r="Z57" s="343"/>
      <c r="AA57" s="343"/>
      <c r="AB57" s="343"/>
      <c r="AC57" s="343"/>
      <c r="AD57" s="343"/>
      <c r="AE57" s="343"/>
      <c r="AF57" s="342"/>
      <c r="AG57" s="344"/>
      <c r="AH57" s="41"/>
    </row>
    <row r="58" spans="2:34" ht="12" hidden="1" customHeight="1" x14ac:dyDescent="0.2">
      <c r="B58" s="40"/>
      <c r="C58" s="481"/>
      <c r="D58" s="9" t="s">
        <v>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0"/>
      <c r="Q58" s="12" t="s">
        <v>3</v>
      </c>
      <c r="R58" s="12"/>
      <c r="S58" s="12"/>
      <c r="T58" s="12"/>
      <c r="U58" s="13"/>
      <c r="V58" s="14" t="s">
        <v>4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6"/>
      <c r="AH58" s="41"/>
    </row>
    <row r="59" spans="2:34" ht="18" hidden="1" customHeight="1" x14ac:dyDescent="0.2">
      <c r="B59" s="40"/>
      <c r="C59" s="481"/>
      <c r="D59" s="491"/>
      <c r="E59" s="436"/>
      <c r="F59" s="436"/>
      <c r="G59" s="436"/>
      <c r="H59" s="436"/>
      <c r="I59" s="436"/>
      <c r="J59" s="436"/>
      <c r="K59" s="436"/>
      <c r="L59" s="436"/>
      <c r="M59" s="436"/>
      <c r="N59" s="436"/>
      <c r="O59" s="436"/>
      <c r="P59" s="437"/>
      <c r="Q59" s="497"/>
      <c r="R59" s="497"/>
      <c r="S59" s="497"/>
      <c r="T59" s="497"/>
      <c r="U59" s="498"/>
      <c r="V59" s="435"/>
      <c r="W59" s="436"/>
      <c r="X59" s="436"/>
      <c r="Y59" s="436"/>
      <c r="Z59" s="436"/>
      <c r="AA59" s="436"/>
      <c r="AB59" s="436"/>
      <c r="AC59" s="436"/>
      <c r="AD59" s="436"/>
      <c r="AE59" s="436"/>
      <c r="AF59" s="436"/>
      <c r="AG59" s="492"/>
      <c r="AH59" s="41"/>
    </row>
    <row r="60" spans="2:34" ht="15" hidden="1" customHeight="1" x14ac:dyDescent="0.2">
      <c r="B60" s="40"/>
      <c r="C60" s="481"/>
      <c r="D60" s="31" t="s">
        <v>5</v>
      </c>
      <c r="E60" s="32"/>
      <c r="F60" s="32"/>
      <c r="G60" s="32"/>
      <c r="H60" s="32"/>
      <c r="I60" s="27"/>
      <c r="J60" s="26" t="s">
        <v>6</v>
      </c>
      <c r="K60" s="32"/>
      <c r="L60" s="32"/>
      <c r="M60" s="32"/>
      <c r="N60" s="32"/>
      <c r="O60" s="32"/>
      <c r="P60" s="27"/>
      <c r="Q60" s="26" t="s">
        <v>190</v>
      </c>
      <c r="R60" s="32"/>
      <c r="S60" s="32"/>
      <c r="T60" s="32"/>
      <c r="U60" s="32"/>
      <c r="V60" s="32"/>
      <c r="W60" s="32"/>
      <c r="X60" s="32"/>
      <c r="Y60" s="28" t="s">
        <v>7</v>
      </c>
      <c r="Z60" s="26"/>
      <c r="AA60" s="32"/>
      <c r="AB60" s="32"/>
      <c r="AC60" s="27"/>
      <c r="AD60" s="347" t="s">
        <v>323</v>
      </c>
      <c r="AE60" s="348"/>
      <c r="AF60" s="348"/>
      <c r="AG60" s="349"/>
      <c r="AH60" s="41"/>
    </row>
    <row r="61" spans="2:34" ht="18" hidden="1" customHeight="1" x14ac:dyDescent="0.2">
      <c r="B61" s="40"/>
      <c r="C61" s="481"/>
      <c r="D61" s="491"/>
      <c r="E61" s="436"/>
      <c r="F61" s="436"/>
      <c r="G61" s="436"/>
      <c r="H61" s="436"/>
      <c r="I61" s="437"/>
      <c r="J61" s="435"/>
      <c r="K61" s="436"/>
      <c r="L61" s="436"/>
      <c r="M61" s="436"/>
      <c r="N61" s="436"/>
      <c r="O61" s="436"/>
      <c r="P61" s="437"/>
      <c r="Q61" s="483"/>
      <c r="R61" s="484"/>
      <c r="S61" s="484"/>
      <c r="T61" s="484"/>
      <c r="U61" s="484"/>
      <c r="V61" s="484"/>
      <c r="W61" s="484"/>
      <c r="X61" s="484"/>
      <c r="Y61" s="483"/>
      <c r="Z61" s="484"/>
      <c r="AA61" s="484"/>
      <c r="AB61" s="484"/>
      <c r="AC61" s="484"/>
      <c r="AD61" s="350"/>
      <c r="AE61" s="350"/>
      <c r="AF61" s="350"/>
      <c r="AG61" s="234" t="str">
        <f>IF(AD61&gt;=$AH$119,"JR","")</f>
        <v/>
      </c>
      <c r="AH61" s="41"/>
    </row>
    <row r="62" spans="2:34" ht="15" hidden="1" customHeight="1" x14ac:dyDescent="0.2">
      <c r="B62" s="40"/>
      <c r="C62" s="481"/>
      <c r="D62" s="21" t="s">
        <v>10</v>
      </c>
      <c r="E62" s="22"/>
      <c r="F62" s="22"/>
      <c r="G62" s="22"/>
      <c r="H62" s="23"/>
      <c r="I62" s="34" t="s">
        <v>10</v>
      </c>
      <c r="J62" s="22"/>
      <c r="K62" s="22"/>
      <c r="L62" s="22"/>
      <c r="M62" s="23"/>
      <c r="N62" s="34" t="s">
        <v>11</v>
      </c>
      <c r="O62" s="22"/>
      <c r="P62" s="22"/>
      <c r="Q62" s="22"/>
      <c r="R62" s="22"/>
      <c r="S62" s="22"/>
      <c r="T62" s="22"/>
      <c r="U62" s="23"/>
      <c r="V62" s="24" t="s">
        <v>12</v>
      </c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5"/>
      <c r="AH62" s="41"/>
    </row>
    <row r="63" spans="2:34" ht="18" hidden="1" customHeight="1" x14ac:dyDescent="0.2">
      <c r="B63" s="40"/>
      <c r="C63" s="482"/>
      <c r="D63" s="489"/>
      <c r="E63" s="490"/>
      <c r="F63" s="490"/>
      <c r="G63" s="490"/>
      <c r="H63" s="490"/>
      <c r="I63" s="582"/>
      <c r="J63" s="486"/>
      <c r="K63" s="486"/>
      <c r="L63" s="486"/>
      <c r="M63" s="487"/>
      <c r="N63" s="485"/>
      <c r="O63" s="486"/>
      <c r="P63" s="486"/>
      <c r="Q63" s="486"/>
      <c r="R63" s="486"/>
      <c r="S63" s="486"/>
      <c r="T63" s="486"/>
      <c r="U63" s="487"/>
      <c r="V63" s="438"/>
      <c r="W63" s="439"/>
      <c r="X63" s="439"/>
      <c r="Y63" s="439"/>
      <c r="Z63" s="439"/>
      <c r="AA63" s="439"/>
      <c r="AB63" s="439"/>
      <c r="AC63" s="439"/>
      <c r="AD63" s="439"/>
      <c r="AE63" s="439"/>
      <c r="AF63" s="439"/>
      <c r="AG63" s="440"/>
      <c r="AH63" s="41"/>
    </row>
    <row r="64" spans="2:34" ht="3.75" customHeight="1" x14ac:dyDescent="0.2">
      <c r="B64" s="40"/>
      <c r="C64" s="5"/>
      <c r="D64" s="141"/>
      <c r="E64" s="141"/>
      <c r="F64" s="141"/>
      <c r="G64" s="141"/>
      <c r="H64" s="141"/>
      <c r="I64" s="14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41"/>
    </row>
    <row r="65" spans="2:34" ht="20.100000000000001" customHeight="1" x14ac:dyDescent="0.2">
      <c r="B65" s="40"/>
      <c r="C65" s="461" t="s">
        <v>13</v>
      </c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2"/>
      <c r="AD65" s="462"/>
      <c r="AE65" s="462"/>
      <c r="AF65" s="462"/>
      <c r="AG65" s="463"/>
      <c r="AH65" s="41"/>
    </row>
    <row r="66" spans="2:34" ht="3" customHeight="1" x14ac:dyDescent="0.2">
      <c r="B66" s="4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41"/>
    </row>
    <row r="67" spans="2:34" ht="11.25" customHeight="1" x14ac:dyDescent="0.2">
      <c r="B67" s="40"/>
      <c r="C67" s="18" t="s">
        <v>107</v>
      </c>
      <c r="D67" s="7"/>
      <c r="E67" s="7"/>
      <c r="F67" s="7"/>
      <c r="G67" s="7"/>
      <c r="H67" s="101"/>
      <c r="I67" s="107"/>
      <c r="J67" s="111" t="s">
        <v>211</v>
      </c>
      <c r="K67" s="110"/>
      <c r="L67" s="110"/>
      <c r="M67" s="110"/>
      <c r="N67" s="110"/>
      <c r="O67" s="110"/>
      <c r="P67" s="110"/>
      <c r="Q67" s="610" t="s">
        <v>291</v>
      </c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2"/>
      <c r="AH67" s="41"/>
    </row>
    <row r="68" spans="2:34" ht="18.75" customHeight="1" x14ac:dyDescent="0.2">
      <c r="B68" s="200"/>
      <c r="C68" s="453"/>
      <c r="D68" s="453"/>
      <c r="E68" s="453"/>
      <c r="F68" s="453"/>
      <c r="G68" s="453"/>
      <c r="H68" s="453"/>
      <c r="I68" s="454"/>
      <c r="J68" s="342"/>
      <c r="K68" s="343"/>
      <c r="L68" s="343"/>
      <c r="M68" s="343"/>
      <c r="N68" s="343"/>
      <c r="O68" s="343"/>
      <c r="P68" s="344"/>
      <c r="Q68" s="605" t="e">
        <f>VLOOKUP(' Datos de Organizadores '!P31,' Datos de Organizadores '!Q28:T39,2)</f>
        <v>#N/A</v>
      </c>
      <c r="R68" s="606"/>
      <c r="S68" s="606"/>
      <c r="T68" s="606"/>
      <c r="U68" s="606"/>
      <c r="V68" s="606"/>
      <c r="W68" s="606"/>
      <c r="X68" s="606"/>
      <c r="Y68" s="606"/>
      <c r="Z68" s="606"/>
      <c r="AA68" s="607" t="str">
        <f>IF(Q72="H",VLOOKUP(' Datos de Organizadores '!W29,' Datos de Organizadores '!V30:X40,3)," ")</f>
        <v xml:space="preserve"> </v>
      </c>
      <c r="AB68" s="607"/>
      <c r="AC68" s="607"/>
      <c r="AD68" s="607"/>
      <c r="AE68" s="607"/>
      <c r="AF68" s="607"/>
      <c r="AG68" s="607"/>
      <c r="AH68" s="41"/>
    </row>
    <row r="69" spans="2:34" ht="18.75" customHeight="1" x14ac:dyDescent="0.2">
      <c r="B69" s="40"/>
      <c r="C69" s="9" t="s">
        <v>108</v>
      </c>
      <c r="D69" s="5"/>
      <c r="E69" s="5"/>
      <c r="F69" s="5"/>
      <c r="G69" s="5"/>
      <c r="H69" s="104"/>
      <c r="I69" s="108"/>
      <c r="J69" s="470" t="s">
        <v>277</v>
      </c>
      <c r="K69" s="471"/>
      <c r="L69" s="471"/>
      <c r="M69" s="472"/>
      <c r="N69" s="578" t="s">
        <v>212</v>
      </c>
      <c r="O69" s="578"/>
      <c r="P69" s="579"/>
      <c r="Q69" s="599" t="str">
        <f>IF(Campeonato=2,"",IF(Grupo=1,"",AGRUP))</f>
        <v/>
      </c>
      <c r="R69" s="600"/>
      <c r="S69" s="600"/>
      <c r="T69" s="600"/>
      <c r="U69" s="600"/>
      <c r="V69" s="600"/>
      <c r="W69" s="600"/>
      <c r="X69" s="600"/>
      <c r="Y69" s="600"/>
      <c r="Z69" s="601"/>
      <c r="AA69" s="596" t="s">
        <v>356</v>
      </c>
      <c r="AB69" s="596"/>
      <c r="AC69" s="596"/>
      <c r="AD69" s="596"/>
      <c r="AE69" s="596"/>
      <c r="AF69" s="596"/>
      <c r="AG69" s="596"/>
      <c r="AH69" s="41"/>
    </row>
    <row r="70" spans="2:34" ht="18" customHeight="1" x14ac:dyDescent="0.2">
      <c r="B70" s="200"/>
      <c r="C70" s="453"/>
      <c r="D70" s="453"/>
      <c r="E70" s="453"/>
      <c r="F70" s="453"/>
      <c r="G70" s="453"/>
      <c r="H70" s="453"/>
      <c r="I70" s="454"/>
      <c r="J70" s="342"/>
      <c r="K70" s="343"/>
      <c r="L70" s="343"/>
      <c r="M70" s="493"/>
      <c r="N70" s="343"/>
      <c r="O70" s="343"/>
      <c r="P70" s="344"/>
      <c r="Q70" s="602"/>
      <c r="R70" s="603"/>
      <c r="S70" s="603"/>
      <c r="T70" s="603"/>
      <c r="U70" s="603"/>
      <c r="V70" s="603"/>
      <c r="W70" s="603"/>
      <c r="X70" s="603"/>
      <c r="Y70" s="603"/>
      <c r="Z70" s="604"/>
      <c r="AA70" s="597"/>
      <c r="AB70" s="343"/>
      <c r="AC70" s="343"/>
      <c r="AD70" s="343"/>
      <c r="AE70" s="343"/>
      <c r="AF70" s="343"/>
      <c r="AG70" s="344"/>
      <c r="AH70" s="41"/>
    </row>
    <row r="71" spans="2:34" ht="15" customHeight="1" x14ac:dyDescent="0.2">
      <c r="B71" s="40"/>
      <c r="C71" s="629" t="s">
        <v>110</v>
      </c>
      <c r="D71" s="630"/>
      <c r="E71" s="629" t="s">
        <v>109</v>
      </c>
      <c r="F71" s="631"/>
      <c r="G71" s="631"/>
      <c r="H71" s="631"/>
      <c r="I71" s="630"/>
      <c r="J71" s="12" t="s">
        <v>221</v>
      </c>
      <c r="K71" s="5"/>
      <c r="L71" s="5"/>
      <c r="M71" s="5"/>
      <c r="N71" s="473"/>
      <c r="O71" s="473"/>
      <c r="P71" s="474"/>
      <c r="Q71" s="468" t="s">
        <v>14</v>
      </c>
      <c r="R71" s="468"/>
      <c r="S71" s="468"/>
      <c r="T71" s="468"/>
      <c r="U71" s="468"/>
      <c r="V71" s="613"/>
      <c r="W71" s="598" t="s">
        <v>229</v>
      </c>
      <c r="X71" s="468"/>
      <c r="Y71" s="468"/>
      <c r="Z71" s="469"/>
      <c r="AA71" s="467" t="s">
        <v>310</v>
      </c>
      <c r="AB71" s="468"/>
      <c r="AC71" s="468"/>
      <c r="AD71" s="468"/>
      <c r="AE71" s="468"/>
      <c r="AF71" s="468"/>
      <c r="AG71" s="469"/>
      <c r="AH71" s="41"/>
    </row>
    <row r="72" spans="2:34" ht="18" customHeight="1" x14ac:dyDescent="0.2">
      <c r="B72" s="200"/>
      <c r="C72" s="632"/>
      <c r="D72" s="479"/>
      <c r="E72" s="478"/>
      <c r="F72" s="478"/>
      <c r="G72" s="478"/>
      <c r="H72" s="478"/>
      <c r="I72" s="479"/>
      <c r="J72" s="236"/>
      <c r="K72" s="237"/>
      <c r="L72" s="237"/>
      <c r="M72" s="237"/>
      <c r="N72" s="237"/>
      <c r="O72" s="237"/>
      <c r="P72" s="238"/>
      <c r="Q72" s="303" t="str">
        <f>IF(Campeonato=2,"",IF(Grupo=1,"",' Datos de Organizadores '!Q31))</f>
        <v/>
      </c>
      <c r="R72" s="304"/>
      <c r="S72" s="304"/>
      <c r="T72" s="304"/>
      <c r="U72" s="304"/>
      <c r="V72" s="305"/>
      <c r="W72" s="583" t="str">
        <f>CLASE</f>
        <v/>
      </c>
      <c r="X72" s="584"/>
      <c r="Y72" s="584"/>
      <c r="Z72" s="585"/>
      <c r="AA72" s="156"/>
      <c r="AB72" s="152"/>
      <c r="AC72" s="20"/>
      <c r="AD72" s="20"/>
      <c r="AE72" s="20"/>
      <c r="AF72" s="20"/>
      <c r="AG72" s="159"/>
      <c r="AH72" s="41"/>
    </row>
    <row r="73" spans="2:34" ht="15" customHeight="1" x14ac:dyDescent="0.2">
      <c r="B73" s="200"/>
      <c r="C73" s="201" t="s">
        <v>220</v>
      </c>
      <c r="D73" s="114"/>
      <c r="E73" s="114"/>
      <c r="F73" s="114"/>
      <c r="G73" s="114"/>
      <c r="H73" s="115"/>
      <c r="I73" s="109"/>
      <c r="J73" s="14" t="s">
        <v>328</v>
      </c>
      <c r="K73" s="5"/>
      <c r="L73" s="5"/>
      <c r="M73" s="5"/>
      <c r="N73" s="5"/>
      <c r="O73" s="104"/>
      <c r="P73" s="194"/>
      <c r="Q73" s="306"/>
      <c r="R73" s="307"/>
      <c r="S73" s="307"/>
      <c r="T73" s="307"/>
      <c r="U73" s="307"/>
      <c r="V73" s="308"/>
      <c r="W73" s="586"/>
      <c r="X73" s="586"/>
      <c r="Y73" s="586"/>
      <c r="Z73" s="587"/>
      <c r="AA73" s="156"/>
      <c r="AB73" s="199"/>
      <c r="AC73" s="160"/>
      <c r="AD73" s="157"/>
      <c r="AE73" s="157"/>
      <c r="AF73" s="157"/>
      <c r="AG73" s="158"/>
      <c r="AH73" s="41"/>
    </row>
    <row r="74" spans="2:34" ht="18" customHeight="1" x14ac:dyDescent="0.2">
      <c r="B74" s="40"/>
      <c r="C74" s="593">
        <f>IF(Turbo=2,VALUE(CILINDRADA),ROUND(VALUE(CILINDRADA)*1.7,0))</f>
        <v>0</v>
      </c>
      <c r="D74" s="594"/>
      <c r="E74" s="594"/>
      <c r="F74" s="594"/>
      <c r="G74" s="594"/>
      <c r="H74" s="594"/>
      <c r="I74" s="595"/>
      <c r="J74" s="590"/>
      <c r="K74" s="591"/>
      <c r="L74" s="591"/>
      <c r="M74" s="591"/>
      <c r="N74" s="591"/>
      <c r="O74" s="591"/>
      <c r="P74" s="592"/>
      <c r="Q74" s="309"/>
      <c r="R74" s="310"/>
      <c r="S74" s="310"/>
      <c r="T74" s="310"/>
      <c r="U74" s="310"/>
      <c r="V74" s="311"/>
      <c r="W74" s="588"/>
      <c r="X74" s="588"/>
      <c r="Y74" s="588"/>
      <c r="Z74" s="589"/>
      <c r="AA74" s="153"/>
      <c r="AB74" s="154"/>
      <c r="AC74" s="154"/>
      <c r="AD74" s="154"/>
      <c r="AE74" s="154"/>
      <c r="AF74" s="154"/>
      <c r="AG74" s="155"/>
      <c r="AH74" s="41"/>
    </row>
    <row r="75" spans="2:34" ht="3.75" customHeight="1" x14ac:dyDescent="0.2">
      <c r="B75" s="40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27"/>
      <c r="AF75" s="127"/>
      <c r="AG75" s="127"/>
      <c r="AH75" s="41"/>
    </row>
    <row r="76" spans="2:34" ht="20.100000000000001" hidden="1" customHeight="1" x14ac:dyDescent="0.2">
      <c r="B76" s="40"/>
      <c r="C76" s="464" t="s">
        <v>210</v>
      </c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5"/>
      <c r="Y76" s="465"/>
      <c r="Z76" s="465"/>
      <c r="AA76" s="465"/>
      <c r="AB76" s="465"/>
      <c r="AC76" s="465"/>
      <c r="AD76" s="465"/>
      <c r="AE76" s="465"/>
      <c r="AF76" s="465"/>
      <c r="AG76" s="466"/>
      <c r="AH76" s="41"/>
    </row>
    <row r="77" spans="2:34" ht="3.75" hidden="1" customHeight="1" x14ac:dyDescent="0.2">
      <c r="B77" s="4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41"/>
    </row>
    <row r="78" spans="2:34" ht="18" hidden="1" customHeight="1" x14ac:dyDescent="0.2">
      <c r="B78" s="40"/>
      <c r="C78" s="475" t="s">
        <v>208</v>
      </c>
      <c r="D78" s="476"/>
      <c r="E78" s="476"/>
      <c r="F78" s="476"/>
      <c r="G78" s="476"/>
      <c r="H78" s="476"/>
      <c r="I78" s="476"/>
      <c r="J78" s="476"/>
      <c r="K78" s="476"/>
      <c r="L78" s="476"/>
      <c r="M78" s="476"/>
      <c r="N78" s="476"/>
      <c r="O78" s="476"/>
      <c r="P78" s="476"/>
      <c r="Q78" s="476"/>
      <c r="R78" s="476"/>
      <c r="S78" s="476"/>
      <c r="T78" s="476"/>
      <c r="U78" s="476"/>
      <c r="V78" s="476"/>
      <c r="W78" s="476"/>
      <c r="X78" s="476"/>
      <c r="Y78" s="476"/>
      <c r="Z78" s="476"/>
      <c r="AA78" s="476"/>
      <c r="AB78" s="476"/>
      <c r="AC78" s="476"/>
      <c r="AD78" s="476"/>
      <c r="AE78" s="476"/>
      <c r="AF78" s="476"/>
      <c r="AG78" s="477"/>
      <c r="AH78" s="41"/>
    </row>
    <row r="79" spans="2:34" ht="15.75" hidden="1" customHeight="1" x14ac:dyDescent="0.2">
      <c r="B79" s="40"/>
      <c r="C79" s="92" t="s">
        <v>180</v>
      </c>
      <c r="D79" s="20"/>
      <c r="E79" s="367"/>
      <c r="F79" s="367"/>
      <c r="G79" s="367"/>
      <c r="H79" s="367"/>
      <c r="I79" s="367"/>
      <c r="J79" s="367"/>
      <c r="K79" s="367"/>
      <c r="L79" s="367"/>
      <c r="M79" s="367"/>
      <c r="N79" s="367"/>
      <c r="O79" s="367"/>
      <c r="P79" s="368"/>
      <c r="Q79" s="447" t="s">
        <v>181</v>
      </c>
      <c r="R79" s="448"/>
      <c r="S79" s="448"/>
      <c r="T79" s="448"/>
      <c r="U79" s="448"/>
      <c r="V79" s="448"/>
      <c r="W79" s="448"/>
      <c r="X79" s="448"/>
      <c r="Y79" s="448"/>
      <c r="Z79" s="448"/>
      <c r="AA79" s="448"/>
      <c r="AB79" s="448"/>
      <c r="AC79" s="448"/>
      <c r="AD79" s="448"/>
      <c r="AE79" s="448"/>
      <c r="AF79" s="448"/>
      <c r="AG79" s="449"/>
      <c r="AH79" s="41"/>
    </row>
    <row r="80" spans="2:34" ht="15.75" hidden="1" customHeight="1" x14ac:dyDescent="0.2">
      <c r="B80" s="40"/>
      <c r="C80" s="92" t="s">
        <v>182</v>
      </c>
      <c r="D80" s="20"/>
      <c r="E80" s="367"/>
      <c r="F80" s="367"/>
      <c r="G80" s="367"/>
      <c r="H80" s="367"/>
      <c r="I80" s="367"/>
      <c r="J80" s="367"/>
      <c r="K80" s="367"/>
      <c r="L80" s="367"/>
      <c r="M80" s="367"/>
      <c r="N80" s="367"/>
      <c r="O80" s="367"/>
      <c r="P80" s="368"/>
      <c r="Q80" s="450"/>
      <c r="R80" s="451"/>
      <c r="S80" s="451"/>
      <c r="T80" s="451"/>
      <c r="U80" s="451"/>
      <c r="V80" s="451"/>
      <c r="W80" s="451"/>
      <c r="X80" s="451"/>
      <c r="Y80" s="451"/>
      <c r="Z80" s="451"/>
      <c r="AA80" s="451"/>
      <c r="AB80" s="451"/>
      <c r="AC80" s="451"/>
      <c r="AD80" s="451"/>
      <c r="AE80" s="451"/>
      <c r="AF80" s="451"/>
      <c r="AG80" s="452"/>
      <c r="AH80" s="41"/>
    </row>
    <row r="81" spans="2:36" ht="15.75" hidden="1" customHeight="1" x14ac:dyDescent="0.2">
      <c r="B81" s="40"/>
      <c r="C81" s="92" t="s">
        <v>183</v>
      </c>
      <c r="D81" s="20"/>
      <c r="E81" s="367"/>
      <c r="F81" s="367"/>
      <c r="G81" s="367"/>
      <c r="H81" s="367"/>
      <c r="I81" s="367"/>
      <c r="J81" s="367"/>
      <c r="K81" s="367"/>
      <c r="L81" s="367"/>
      <c r="M81" s="367"/>
      <c r="N81" s="367"/>
      <c r="O81" s="367"/>
      <c r="P81" s="368"/>
      <c r="Q81" s="5"/>
      <c r="R81" s="5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6"/>
      <c r="AH81" s="41"/>
    </row>
    <row r="82" spans="2:36" ht="15.75" hidden="1" customHeight="1" x14ac:dyDescent="0.2">
      <c r="B82" s="40"/>
      <c r="C82" s="92" t="s">
        <v>184</v>
      </c>
      <c r="D82" s="20"/>
      <c r="E82" s="367"/>
      <c r="F82" s="367"/>
      <c r="G82" s="367"/>
      <c r="H82" s="367"/>
      <c r="I82" s="367"/>
      <c r="J82" s="367"/>
      <c r="K82" s="367"/>
      <c r="L82" s="367"/>
      <c r="M82" s="367"/>
      <c r="N82" s="367"/>
      <c r="O82" s="367"/>
      <c r="P82" s="368"/>
      <c r="Q82" s="5"/>
      <c r="R82" s="5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6"/>
      <c r="AH82" s="41"/>
    </row>
    <row r="83" spans="2:36" ht="15.75" hidden="1" customHeight="1" x14ac:dyDescent="0.2">
      <c r="B83" s="40"/>
      <c r="C83" s="580" t="s">
        <v>185</v>
      </c>
      <c r="D83" s="581"/>
      <c r="E83" s="375"/>
      <c r="F83" s="375"/>
      <c r="G83" s="93" t="s">
        <v>5</v>
      </c>
      <c r="H83" s="94"/>
      <c r="I83" s="375"/>
      <c r="J83" s="375"/>
      <c r="K83" s="375"/>
      <c r="L83" s="375"/>
      <c r="M83" s="375"/>
      <c r="N83" s="375"/>
      <c r="O83" s="375"/>
      <c r="P83" s="488"/>
      <c r="Q83" s="94"/>
      <c r="R83" s="94"/>
      <c r="S83" s="95"/>
      <c r="T83" s="96"/>
      <c r="U83" s="96"/>
      <c r="V83" s="96"/>
      <c r="W83" s="95"/>
      <c r="X83" s="96"/>
      <c r="Y83" s="95"/>
      <c r="Z83" s="96"/>
      <c r="AA83" s="95"/>
      <c r="AB83" s="96"/>
      <c r="AC83" s="96"/>
      <c r="AD83" s="96"/>
      <c r="AE83" s="96"/>
      <c r="AF83" s="96"/>
      <c r="AG83" s="97"/>
      <c r="AH83" s="41"/>
    </row>
    <row r="84" spans="2:36" ht="6.75" customHeight="1" x14ac:dyDescent="0.2">
      <c r="B84" s="4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41"/>
    </row>
    <row r="85" spans="2:36" ht="20.100000000000001" customHeight="1" x14ac:dyDescent="0.2">
      <c r="B85" s="40"/>
      <c r="C85" s="461" t="s">
        <v>16</v>
      </c>
      <c r="D85" s="462"/>
      <c r="E85" s="462"/>
      <c r="F85" s="462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  <c r="R85" s="462"/>
      <c r="S85" s="462"/>
      <c r="T85" s="462"/>
      <c r="U85" s="462"/>
      <c r="V85" s="462"/>
      <c r="W85" s="462"/>
      <c r="X85" s="462"/>
      <c r="Y85" s="462"/>
      <c r="Z85" s="462"/>
      <c r="AA85" s="462"/>
      <c r="AB85" s="462"/>
      <c r="AC85" s="462"/>
      <c r="AD85" s="462"/>
      <c r="AE85" s="462"/>
      <c r="AF85" s="462"/>
      <c r="AG85" s="463"/>
      <c r="AH85" s="41"/>
    </row>
    <row r="86" spans="2:36" ht="3" customHeight="1" x14ac:dyDescent="0.2">
      <c r="B86" s="4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41"/>
    </row>
    <row r="87" spans="2:36" ht="9" customHeight="1" x14ac:dyDescent="0.2">
      <c r="B87" s="40"/>
      <c r="C87" s="300" t="s">
        <v>276</v>
      </c>
      <c r="D87" s="296">
        <f>VLOOKUP(' Derechos de Inscripción '!C16,' Datos de Organizadores '!$A$3:$M$10,12)</f>
        <v>44379</v>
      </c>
      <c r="E87" s="296"/>
      <c r="F87" s="297"/>
      <c r="G87" s="369" t="s">
        <v>284</v>
      </c>
      <c r="H87" s="370"/>
      <c r="I87" s="370"/>
      <c r="J87" s="371"/>
      <c r="K87" s="325" t="s">
        <v>305</v>
      </c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  <c r="AA87" s="326"/>
      <c r="AB87" s="327"/>
      <c r="AC87" s="623" t="s">
        <v>195</v>
      </c>
      <c r="AD87" s="624"/>
      <c r="AE87" s="624"/>
      <c r="AF87" s="624"/>
      <c r="AG87" s="625"/>
      <c r="AH87" s="41"/>
    </row>
    <row r="88" spans="2:36" ht="6" customHeight="1" x14ac:dyDescent="0.2">
      <c r="B88" s="40"/>
      <c r="C88" s="301"/>
      <c r="D88" s="298"/>
      <c r="E88" s="298"/>
      <c r="F88" s="299"/>
      <c r="G88" s="372"/>
      <c r="H88" s="373"/>
      <c r="I88" s="373"/>
      <c r="J88" s="374"/>
      <c r="K88" s="328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29"/>
      <c r="AB88" s="330"/>
      <c r="AC88" s="626"/>
      <c r="AD88" s="627"/>
      <c r="AE88" s="627"/>
      <c r="AF88" s="627"/>
      <c r="AG88" s="628"/>
      <c r="AH88" s="41"/>
    </row>
    <row r="89" spans="2:36" ht="3" hidden="1" customHeight="1" x14ac:dyDescent="0.2">
      <c r="B89" s="40"/>
      <c r="C89" s="4"/>
      <c r="D89" s="5"/>
      <c r="E89" s="5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87"/>
      <c r="AD89" s="5"/>
      <c r="AE89" s="5"/>
      <c r="AF89" s="5"/>
      <c r="AG89" s="6"/>
      <c r="AH89" s="41"/>
    </row>
    <row r="90" spans="2:36" ht="3" customHeight="1" x14ac:dyDescent="0.2">
      <c r="B90" s="40"/>
      <c r="C90" s="287">
        <f>IF(' Datos de Organizadores '!P4=2,' Derechos de Inscripción '!J29*2,' Derechos de Inscripción '!J29)</f>
        <v>195</v>
      </c>
      <c r="D90" s="288"/>
      <c r="E90" s="288"/>
      <c r="F90" s="289"/>
      <c r="G90" s="614">
        <f>50+C90</f>
        <v>245</v>
      </c>
      <c r="H90" s="615"/>
      <c r="I90" s="615"/>
      <c r="J90" s="616"/>
      <c r="K90" s="314" t="s">
        <v>271</v>
      </c>
      <c r="L90" s="315"/>
      <c r="M90" s="316"/>
      <c r="N90" s="455">
        <v>7418</v>
      </c>
      <c r="O90" s="455"/>
      <c r="P90" s="455"/>
      <c r="Q90" s="455"/>
      <c r="R90" s="161"/>
      <c r="S90" s="161"/>
      <c r="T90" s="161"/>
      <c r="U90" s="161"/>
      <c r="V90" s="315" t="s">
        <v>272</v>
      </c>
      <c r="W90" s="315"/>
      <c r="X90" s="315"/>
      <c r="Y90" s="315"/>
      <c r="Z90" s="315"/>
      <c r="AA90" s="315"/>
      <c r="AB90" s="316"/>
      <c r="AC90" s="358"/>
      <c r="AD90" s="359"/>
      <c r="AE90" s="359"/>
      <c r="AF90" s="359"/>
      <c r="AG90" s="360"/>
      <c r="AH90" s="41"/>
    </row>
    <row r="91" spans="2:36" ht="9" customHeight="1" x14ac:dyDescent="0.2">
      <c r="B91" s="40"/>
      <c r="C91" s="290"/>
      <c r="D91" s="291"/>
      <c r="E91" s="291"/>
      <c r="F91" s="292"/>
      <c r="G91" s="617"/>
      <c r="H91" s="618"/>
      <c r="I91" s="618"/>
      <c r="J91" s="619"/>
      <c r="K91" s="314"/>
      <c r="L91" s="315"/>
      <c r="M91" s="316"/>
      <c r="N91" s="455"/>
      <c r="O91" s="455"/>
      <c r="P91" s="455"/>
      <c r="Q91" s="455"/>
      <c r="R91" s="457">
        <v>61</v>
      </c>
      <c r="S91" s="455"/>
      <c r="T91" s="455"/>
      <c r="U91" s="458"/>
      <c r="V91" s="315"/>
      <c r="W91" s="315"/>
      <c r="X91" s="315"/>
      <c r="Y91" s="315"/>
      <c r="Z91" s="315"/>
      <c r="AA91" s="315"/>
      <c r="AB91" s="316"/>
      <c r="AC91" s="361"/>
      <c r="AD91" s="362"/>
      <c r="AE91" s="362"/>
      <c r="AF91" s="362"/>
      <c r="AG91" s="363"/>
      <c r="AH91" s="41"/>
    </row>
    <row r="92" spans="2:36" ht="9" customHeight="1" x14ac:dyDescent="0.2">
      <c r="B92" s="40"/>
      <c r="C92" s="290"/>
      <c r="D92" s="291"/>
      <c r="E92" s="291"/>
      <c r="F92" s="292"/>
      <c r="G92" s="617"/>
      <c r="H92" s="618"/>
      <c r="I92" s="618"/>
      <c r="J92" s="619"/>
      <c r="K92" s="314"/>
      <c r="L92" s="315"/>
      <c r="M92" s="316"/>
      <c r="N92" s="455"/>
      <c r="O92" s="455"/>
      <c r="P92" s="455"/>
      <c r="Q92" s="455"/>
      <c r="R92" s="457"/>
      <c r="S92" s="455"/>
      <c r="T92" s="455"/>
      <c r="U92" s="458"/>
      <c r="V92" s="315"/>
      <c r="W92" s="315"/>
      <c r="X92" s="315"/>
      <c r="Y92" s="315"/>
      <c r="Z92" s="315"/>
      <c r="AA92" s="315"/>
      <c r="AB92" s="316"/>
      <c r="AC92" s="361"/>
      <c r="AD92" s="362"/>
      <c r="AE92" s="362"/>
      <c r="AF92" s="362"/>
      <c r="AG92" s="363"/>
      <c r="AH92" s="41"/>
    </row>
    <row r="93" spans="2:36" ht="18" customHeight="1" x14ac:dyDescent="0.2">
      <c r="B93" s="40"/>
      <c r="C93" s="290"/>
      <c r="D93" s="291"/>
      <c r="E93" s="291"/>
      <c r="F93" s="292"/>
      <c r="G93" s="617"/>
      <c r="H93" s="618"/>
      <c r="I93" s="618"/>
      <c r="J93" s="619"/>
      <c r="K93" s="314"/>
      <c r="L93" s="315"/>
      <c r="M93" s="316"/>
      <c r="N93" s="455"/>
      <c r="O93" s="455"/>
      <c r="P93" s="455"/>
      <c r="Q93" s="455"/>
      <c r="R93" s="457"/>
      <c r="S93" s="455"/>
      <c r="T93" s="455"/>
      <c r="U93" s="458"/>
      <c r="V93" s="315"/>
      <c r="W93" s="315"/>
      <c r="X93" s="315"/>
      <c r="Y93" s="315"/>
      <c r="Z93" s="315"/>
      <c r="AA93" s="315"/>
      <c r="AB93" s="316"/>
      <c r="AC93" s="361"/>
      <c r="AD93" s="362"/>
      <c r="AE93" s="362"/>
      <c r="AF93" s="362"/>
      <c r="AG93" s="363"/>
      <c r="AH93" s="41"/>
    </row>
    <row r="94" spans="2:36" ht="3" customHeight="1" x14ac:dyDescent="0.2">
      <c r="B94" s="40"/>
      <c r="C94" s="293"/>
      <c r="D94" s="294"/>
      <c r="E94" s="294"/>
      <c r="F94" s="295"/>
      <c r="G94" s="620"/>
      <c r="H94" s="621"/>
      <c r="I94" s="621"/>
      <c r="J94" s="622"/>
      <c r="K94" s="317"/>
      <c r="L94" s="318"/>
      <c r="M94" s="319"/>
      <c r="N94" s="456"/>
      <c r="O94" s="456"/>
      <c r="P94" s="456"/>
      <c r="Q94" s="456"/>
      <c r="R94" s="459"/>
      <c r="S94" s="456"/>
      <c r="T94" s="456"/>
      <c r="U94" s="460"/>
      <c r="V94" s="318"/>
      <c r="W94" s="318"/>
      <c r="X94" s="318"/>
      <c r="Y94" s="318"/>
      <c r="Z94" s="318"/>
      <c r="AA94" s="318"/>
      <c r="AB94" s="319"/>
      <c r="AC94" s="364"/>
      <c r="AD94" s="365"/>
      <c r="AE94" s="365"/>
      <c r="AF94" s="365"/>
      <c r="AG94" s="366"/>
      <c r="AH94" s="41"/>
    </row>
    <row r="95" spans="2:36" ht="5.25" customHeight="1" thickBot="1" x14ac:dyDescent="0.25">
      <c r="B95" s="40"/>
      <c r="C95" s="7"/>
      <c r="D95" s="8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86"/>
      <c r="AB95" s="386"/>
      <c r="AC95" s="386"/>
      <c r="AD95" s="386"/>
      <c r="AE95" s="386"/>
      <c r="AF95" s="386"/>
      <c r="AG95" s="386"/>
      <c r="AH95" s="41"/>
    </row>
    <row r="96" spans="2:36" ht="14.1" customHeight="1" x14ac:dyDescent="0.2">
      <c r="B96" s="146"/>
      <c r="C96" s="636" t="s">
        <v>317</v>
      </c>
      <c r="D96" s="636"/>
      <c r="E96" s="636"/>
      <c r="F96" s="636"/>
      <c r="G96" s="636"/>
      <c r="H96" s="636"/>
      <c r="I96" s="636"/>
      <c r="J96" s="636"/>
      <c r="K96" s="636"/>
      <c r="L96" s="636"/>
      <c r="M96" s="636"/>
      <c r="N96" s="636"/>
      <c r="O96" s="636"/>
      <c r="P96" s="636"/>
      <c r="Q96" s="636"/>
      <c r="R96" s="377" t="s">
        <v>322</v>
      </c>
      <c r="S96" s="378"/>
      <c r="T96" s="378"/>
      <c r="U96" s="378"/>
      <c r="V96" s="378"/>
      <c r="W96" s="378"/>
      <c r="X96" s="378"/>
      <c r="Y96" s="379"/>
      <c r="Z96" s="354"/>
      <c r="AA96" s="354"/>
      <c r="AB96" s="354"/>
      <c r="AC96" s="354"/>
      <c r="AD96" s="354"/>
      <c r="AE96" s="354"/>
      <c r="AF96" s="354"/>
      <c r="AG96" s="355"/>
      <c r="AH96" s="147"/>
      <c r="AI96" s="163"/>
      <c r="AJ96" s="79"/>
    </row>
    <row r="97" spans="2:36" ht="14.1" customHeight="1" x14ac:dyDescent="0.2">
      <c r="B97" s="40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80"/>
      <c r="S97" s="381"/>
      <c r="T97" s="381"/>
      <c r="U97" s="381"/>
      <c r="V97" s="381"/>
      <c r="W97" s="381"/>
      <c r="X97" s="381"/>
      <c r="Y97" s="382"/>
      <c r="Z97" s="356"/>
      <c r="AA97" s="356"/>
      <c r="AB97" s="356"/>
      <c r="AC97" s="356"/>
      <c r="AD97" s="356"/>
      <c r="AE97" s="356"/>
      <c r="AF97" s="356"/>
      <c r="AG97" s="357"/>
      <c r="AH97" s="41"/>
      <c r="AI97" s="163"/>
      <c r="AJ97" s="79"/>
    </row>
    <row r="98" spans="2:36" ht="14.1" customHeight="1" x14ac:dyDescent="0.2">
      <c r="B98" s="40"/>
      <c r="C98" s="376"/>
      <c r="D98" s="376"/>
      <c r="E98" s="376"/>
      <c r="F98" s="376"/>
      <c r="G98" s="376"/>
      <c r="H98" s="376"/>
      <c r="I98" s="376"/>
      <c r="J98" s="376"/>
      <c r="K98" s="376"/>
      <c r="L98" s="376"/>
      <c r="M98" s="376"/>
      <c r="N98" s="376"/>
      <c r="O98" s="376"/>
      <c r="P98" s="376"/>
      <c r="Q98" s="376"/>
      <c r="R98" s="229"/>
      <c r="S98" s="228"/>
      <c r="T98" s="228"/>
      <c r="U98" s="228"/>
      <c r="V98" s="228"/>
      <c r="W98" s="228"/>
      <c r="X98" s="228"/>
      <c r="Y98" s="230"/>
      <c r="Z98" s="356"/>
      <c r="AA98" s="356"/>
      <c r="AB98" s="356"/>
      <c r="AC98" s="356"/>
      <c r="AD98" s="356"/>
      <c r="AE98" s="356"/>
      <c r="AF98" s="356"/>
      <c r="AG98" s="357"/>
      <c r="AH98" s="41"/>
      <c r="AI98" s="79"/>
      <c r="AJ98" s="79"/>
    </row>
    <row r="99" spans="2:36" ht="9.75" customHeight="1" x14ac:dyDescent="0.2">
      <c r="B99" s="40"/>
      <c r="C99" s="376" t="str">
        <f>"De acuerdo con lo establecido en la Ley Orgánica 15/1999 les informamos de que sus datos personales forman parte de un fichero cuyo responsable es " &amp; C21 &amp; ", con domicilio en " &amp; C22 &amp;  ", " &amp; C24 &amp;  " junto con la Federación Andaluza de Automovilismo. La finalidad de este fichero es llevar a cabo la gestión y control de los participantes en la " &amp; C18 &amp; ". Si lo desean podrán ejercitar los derechos de acceso, rectificación, cancelación y oposición, dirigiéndose por escrito a la dirección señalada y adjuntando una fotocopia de su DNI."</f>
        <v>De acuerdo con lo establecido en la Ley Orgánica 15/1999 les informamos de que sus datos personales forman parte de un fichero cuyo responsable es ESC. CERRO DE LOS CAÑONES, con domicilio en CALLE HUERTOS, 47 , BAJO, 18420-LANJARÓN (GRANADA) junto con la Federación Andaluza de Automovilismo. La finalidad de este fichero es llevar a cabo la gestión y control de los participantes en la VI Subida al Cerro de los Cañones. Si lo desean podrán ejercitar los derechos de acceso, rectificación, cancelación y oposición, dirigiéndose por escrito a la dirección señalada y adjuntando una fotocopia de su DNI.</v>
      </c>
      <c r="D99" s="376"/>
      <c r="E99" s="376"/>
      <c r="F99" s="376"/>
      <c r="G99" s="376"/>
      <c r="H99" s="376"/>
      <c r="I99" s="376"/>
      <c r="J99" s="376"/>
      <c r="K99" s="376"/>
      <c r="L99" s="376"/>
      <c r="M99" s="376"/>
      <c r="N99" s="376"/>
      <c r="O99" s="376"/>
      <c r="P99" s="376"/>
      <c r="Q99" s="376"/>
      <c r="R99" s="229"/>
      <c r="S99" s="228"/>
      <c r="T99" s="228"/>
      <c r="U99" s="228"/>
      <c r="V99" s="228"/>
      <c r="W99" s="228"/>
      <c r="X99" s="228"/>
      <c r="Y99" s="230"/>
      <c r="Z99" s="356"/>
      <c r="AA99" s="356"/>
      <c r="AB99" s="356"/>
      <c r="AC99" s="356"/>
      <c r="AD99" s="356"/>
      <c r="AE99" s="356"/>
      <c r="AF99" s="356"/>
      <c r="AG99" s="357"/>
      <c r="AH99" s="41"/>
      <c r="AI99" s="79"/>
      <c r="AJ99" s="79"/>
    </row>
    <row r="100" spans="2:36" ht="15" customHeight="1" x14ac:dyDescent="0.2">
      <c r="B100" s="40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6"/>
      <c r="P100" s="376"/>
      <c r="Q100" s="376"/>
      <c r="R100" s="229"/>
      <c r="S100" s="228"/>
      <c r="T100" s="228"/>
      <c r="U100" s="228"/>
      <c r="V100" s="228"/>
      <c r="W100" s="228"/>
      <c r="X100" s="228"/>
      <c r="Y100" s="230"/>
      <c r="Z100" s="356"/>
      <c r="AA100" s="356"/>
      <c r="AB100" s="356"/>
      <c r="AC100" s="356"/>
      <c r="AD100" s="356"/>
      <c r="AE100" s="356"/>
      <c r="AF100" s="356"/>
      <c r="AG100" s="357"/>
      <c r="AH100" s="41"/>
      <c r="AI100" s="79"/>
      <c r="AJ100" s="79"/>
    </row>
    <row r="101" spans="2:36" ht="12.75" customHeight="1" x14ac:dyDescent="0.15">
      <c r="B101" s="40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376"/>
      <c r="N101" s="376"/>
      <c r="O101" s="376"/>
      <c r="P101" s="376"/>
      <c r="Q101" s="376"/>
      <c r="R101" s="229"/>
      <c r="S101" s="228"/>
      <c r="T101" s="228"/>
      <c r="U101" s="228"/>
      <c r="V101" s="228"/>
      <c r="W101" s="228"/>
      <c r="X101" s="228"/>
      <c r="Y101" s="230"/>
      <c r="Z101" s="312" t="s">
        <v>209</v>
      </c>
      <c r="AA101" s="312"/>
      <c r="AB101" s="312"/>
      <c r="AC101" s="312"/>
      <c r="AD101" s="312"/>
      <c r="AE101" s="312"/>
      <c r="AF101" s="312"/>
      <c r="AG101" s="313"/>
      <c r="AH101" s="41"/>
      <c r="AI101" s="163"/>
    </row>
    <row r="102" spans="2:36" ht="12.75" customHeight="1" thickBot="1" x14ac:dyDescent="0.2">
      <c r="B102" s="40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376"/>
      <c r="N102" s="376"/>
      <c r="O102" s="376"/>
      <c r="P102" s="376"/>
      <c r="Q102" s="376"/>
      <c r="R102" s="231"/>
      <c r="S102" s="232"/>
      <c r="T102" s="232"/>
      <c r="U102" s="232"/>
      <c r="V102" s="232"/>
      <c r="W102" s="232"/>
      <c r="X102" s="232"/>
      <c r="Y102" s="233"/>
      <c r="Z102" s="352" t="s">
        <v>314</v>
      </c>
      <c r="AA102" s="352"/>
      <c r="AB102" s="352"/>
      <c r="AC102" s="352"/>
      <c r="AD102" s="352"/>
      <c r="AE102" s="352"/>
      <c r="AF102" s="352"/>
      <c r="AG102" s="353"/>
      <c r="AH102" s="41"/>
      <c r="AI102" s="163"/>
      <c r="AJ102" s="79"/>
    </row>
    <row r="103" spans="2:36" ht="5.25" customHeight="1" x14ac:dyDescent="0.2">
      <c r="B103" s="40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228"/>
      <c r="S103" s="228"/>
      <c r="T103" s="228"/>
      <c r="U103" s="228"/>
      <c r="V103" s="228"/>
      <c r="W103" s="228"/>
      <c r="X103" s="228"/>
      <c r="Y103" s="5"/>
      <c r="Z103" s="5"/>
      <c r="AA103" s="5"/>
      <c r="AB103" s="5"/>
      <c r="AC103" s="5"/>
      <c r="AD103" s="5"/>
      <c r="AE103" s="5"/>
      <c r="AF103" s="5"/>
      <c r="AG103" s="5"/>
      <c r="AH103" s="41"/>
      <c r="AI103" s="148"/>
    </row>
    <row r="104" spans="2:36" ht="3.75" customHeight="1" x14ac:dyDescent="0.2">
      <c r="B104" s="40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65"/>
      <c r="AI104" s="148"/>
    </row>
    <row r="105" spans="2:36" ht="9.75" hidden="1" customHeight="1" x14ac:dyDescent="0.2">
      <c r="B105" s="40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145"/>
      <c r="Z105" s="145"/>
      <c r="AA105" s="145"/>
      <c r="AB105" s="145"/>
      <c r="AC105" s="145"/>
      <c r="AD105" s="145"/>
      <c r="AE105" s="145"/>
      <c r="AF105" s="145"/>
      <c r="AG105" s="173"/>
      <c r="AH105" s="41"/>
      <c r="AI105" s="148"/>
    </row>
    <row r="106" spans="2:36" ht="7.5" hidden="1" customHeight="1" x14ac:dyDescent="0.2">
      <c r="B106" s="40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145"/>
      <c r="Z106" s="145"/>
      <c r="AA106" s="145"/>
      <c r="AB106" s="145"/>
      <c r="AC106" s="145"/>
      <c r="AD106" s="145"/>
      <c r="AE106" s="145"/>
      <c r="AF106" s="145"/>
      <c r="AG106" s="173"/>
      <c r="AH106" s="41"/>
      <c r="AI106" s="148"/>
    </row>
    <row r="107" spans="2:36" ht="0.75" customHeight="1" x14ac:dyDescent="0.2">
      <c r="B107" s="40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145"/>
      <c r="Z107" s="145"/>
      <c r="AA107" s="145"/>
      <c r="AB107" s="145"/>
      <c r="AC107" s="145"/>
      <c r="AD107" s="145"/>
      <c r="AE107" s="145"/>
      <c r="AF107" s="145"/>
      <c r="AG107" s="187"/>
      <c r="AH107" s="41"/>
      <c r="AI107" s="148"/>
    </row>
    <row r="108" spans="2:36" ht="3.75" hidden="1" customHeight="1" x14ac:dyDescent="0.2">
      <c r="B108" s="40"/>
      <c r="C108" s="5"/>
      <c r="D108" s="2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72"/>
      <c r="AH108" s="41"/>
      <c r="AI108" s="148"/>
    </row>
    <row r="109" spans="2:36" ht="1.5" customHeight="1" x14ac:dyDescent="0.2">
      <c r="B109" s="40"/>
      <c r="C109" s="5"/>
      <c r="D109" s="2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65"/>
      <c r="AI109" s="148"/>
    </row>
    <row r="110" spans="2:36" ht="15.75" hidden="1" customHeight="1" x14ac:dyDescent="0.2">
      <c r="B110" s="124"/>
      <c r="C110" s="94"/>
      <c r="D110" s="125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116"/>
      <c r="R110" s="116"/>
      <c r="S110" s="116"/>
      <c r="T110" s="116"/>
      <c r="U110" s="116"/>
      <c r="V110" s="116"/>
      <c r="W110" s="116"/>
      <c r="X110" s="116"/>
      <c r="Y110" s="122"/>
      <c r="Z110" s="122"/>
      <c r="AA110" s="122"/>
      <c r="AB110" s="122"/>
      <c r="AC110" s="122"/>
      <c r="AD110" s="122"/>
      <c r="AE110" s="122"/>
      <c r="AF110" s="122"/>
      <c r="AG110" s="172"/>
      <c r="AH110" s="126"/>
      <c r="AI110" s="148"/>
    </row>
    <row r="111" spans="2:36" ht="15.75" hidden="1" customHeight="1" x14ac:dyDescent="0.2">
      <c r="B111" s="40"/>
      <c r="C111" s="5"/>
      <c r="D111" s="2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72"/>
      <c r="AH111" s="41"/>
      <c r="AI111" s="148"/>
    </row>
    <row r="112" spans="2:36" ht="15.75" hidden="1" customHeight="1" x14ac:dyDescent="0.2">
      <c r="B112" s="40"/>
      <c r="C112" s="5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72"/>
      <c r="AH112" s="41"/>
      <c r="AI112" s="148"/>
    </row>
    <row r="113" spans="2:35" ht="15.75" hidden="1" customHeight="1" x14ac:dyDescent="0.2">
      <c r="B113" s="40"/>
      <c r="C113" s="5"/>
      <c r="D113" s="2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72"/>
      <c r="AH113" s="41"/>
      <c r="AI113" s="148"/>
    </row>
    <row r="114" spans="2:35" ht="15.75" hidden="1" customHeight="1" x14ac:dyDescent="0.2">
      <c r="B114" s="40"/>
      <c r="C114" s="5"/>
      <c r="D114" s="2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72"/>
      <c r="AH114" s="41"/>
      <c r="AI114" s="148"/>
    </row>
    <row r="115" spans="2:35" ht="15.75" hidden="1" customHeight="1" x14ac:dyDescent="0.2">
      <c r="B115" s="40"/>
      <c r="C115" s="5"/>
      <c r="D115" s="2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72"/>
      <c r="AH115" s="41"/>
      <c r="AI115" s="148"/>
    </row>
    <row r="116" spans="2:35" ht="15.75" hidden="1" customHeight="1" x14ac:dyDescent="0.2">
      <c r="B116" s="40"/>
      <c r="C116" s="5"/>
      <c r="D116" s="2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72"/>
      <c r="AH116" s="41"/>
      <c r="AI116" s="148"/>
    </row>
    <row r="117" spans="2:35" ht="15.75" hidden="1" customHeight="1" x14ac:dyDescent="0.2">
      <c r="B117" s="124"/>
      <c r="C117" s="94"/>
      <c r="D117" s="125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74"/>
      <c r="AH117" s="126"/>
      <c r="AI117" s="148"/>
    </row>
    <row r="118" spans="2:35" ht="0.75" customHeight="1" x14ac:dyDescent="0.2">
      <c r="B118" s="177"/>
      <c r="C118" s="149"/>
      <c r="D118" s="149"/>
      <c r="E118" s="149"/>
      <c r="F118" s="149"/>
      <c r="G118" s="150"/>
      <c r="H118" s="150"/>
      <c r="I118" s="150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75"/>
      <c r="AH118" s="175"/>
      <c r="AI118" s="79"/>
    </row>
    <row r="119" spans="2:35" ht="15" customHeight="1" x14ac:dyDescent="0.2">
      <c r="B119" s="18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 t="b">
        <v>1</v>
      </c>
      <c r="AH119" s="235">
        <v>34335</v>
      </c>
    </row>
    <row r="120" spans="2:35" ht="11.25" customHeight="1" x14ac:dyDescent="0.2">
      <c r="B120" s="40"/>
      <c r="C120" s="5"/>
      <c r="D120" s="5"/>
      <c r="E120" s="5"/>
      <c r="F120" s="5"/>
      <c r="G120" s="419">
        <v>41291.042360185187</v>
      </c>
      <c r="H120" s="419"/>
      <c r="I120" s="419"/>
      <c r="J120" s="419"/>
      <c r="K120" s="46"/>
      <c r="L120" s="302" t="s">
        <v>215</v>
      </c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46"/>
      <c r="AA120" s="46"/>
      <c r="AB120" s="46"/>
      <c r="AC120" s="46"/>
      <c r="AD120" s="46"/>
      <c r="AE120" s="46"/>
      <c r="AF120" s="46"/>
      <c r="AG120" s="46"/>
      <c r="AH120" s="41"/>
    </row>
    <row r="121" spans="2:35" ht="5.25" customHeight="1" x14ac:dyDescent="0.2">
      <c r="B121" s="4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41"/>
    </row>
    <row r="122" spans="2:35" ht="15" customHeight="1" x14ac:dyDescent="0.2">
      <c r="B122" s="40"/>
      <c r="C122" s="5"/>
      <c r="D122" s="5"/>
      <c r="E122" s="5"/>
      <c r="F122" s="5"/>
      <c r="G122" s="46"/>
      <c r="H122" s="46"/>
      <c r="I122" s="46"/>
      <c r="J122" s="46"/>
      <c r="K122" s="46"/>
      <c r="L122" s="351" t="str">
        <f>L14</f>
        <v>MONTAÑA 2019 TROFEO CARCROSS</v>
      </c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46"/>
      <c r="AA122" s="46"/>
      <c r="AB122" s="46"/>
      <c r="AC122" s="46"/>
      <c r="AD122" s="46"/>
      <c r="AE122" s="46"/>
      <c r="AF122" s="46"/>
      <c r="AG122" s="46"/>
      <c r="AH122" s="41"/>
    </row>
    <row r="123" spans="2:35" ht="3.75" customHeight="1" x14ac:dyDescent="0.2">
      <c r="B123" s="40"/>
      <c r="C123" s="5"/>
      <c r="D123" s="5"/>
      <c r="E123" s="5"/>
      <c r="F123" s="5"/>
      <c r="G123" s="5"/>
      <c r="H123" s="128"/>
      <c r="I123" s="128"/>
      <c r="J123" s="128"/>
      <c r="K123" s="128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128"/>
      <c r="AA123" s="128"/>
      <c r="AB123" s="128"/>
      <c r="AC123" s="128"/>
      <c r="AD123" s="128"/>
      <c r="AE123" s="128"/>
      <c r="AF123" s="128"/>
      <c r="AG123" s="128"/>
      <c r="AH123" s="41"/>
    </row>
    <row r="124" spans="2:35" ht="4.5" customHeight="1" x14ac:dyDescent="0.2">
      <c r="B124" s="42">
        <v>3</v>
      </c>
      <c r="C124" s="5"/>
      <c r="D124" s="5"/>
      <c r="E124" s="5"/>
      <c r="F124" s="5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1"/>
    </row>
    <row r="125" spans="2:35" ht="10.5" customHeight="1" x14ac:dyDescent="0.2">
      <c r="B125" s="42"/>
      <c r="C125" s="320" t="s">
        <v>21</v>
      </c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322"/>
      <c r="Y125" s="103"/>
      <c r="Z125" s="320" t="s">
        <v>191</v>
      </c>
      <c r="AA125" s="321"/>
      <c r="AB125" s="321"/>
      <c r="AC125" s="321"/>
      <c r="AD125" s="321"/>
      <c r="AE125" s="321"/>
      <c r="AF125" s="321"/>
      <c r="AG125" s="322"/>
      <c r="AH125" s="41"/>
    </row>
    <row r="126" spans="2:35" ht="6.75" customHeight="1" x14ac:dyDescent="0.2">
      <c r="B126" s="42"/>
      <c r="C126" s="401" t="str">
        <f>C18</f>
        <v>VI Subida al Cerro de los Cañones</v>
      </c>
      <c r="D126" s="402"/>
      <c r="E126" s="402"/>
      <c r="F126" s="402"/>
      <c r="G126" s="402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  <c r="R126" s="402"/>
      <c r="S126" s="402"/>
      <c r="T126" s="402"/>
      <c r="U126" s="402"/>
      <c r="V126" s="402"/>
      <c r="W126" s="402"/>
      <c r="X126" s="403"/>
      <c r="Y126" s="103"/>
      <c r="Z126" s="407" t="str">
        <f>Z18</f>
        <v>10-11/07/2021</v>
      </c>
      <c r="AA126" s="408"/>
      <c r="AB126" s="408"/>
      <c r="AC126" s="408"/>
      <c r="AD126" s="408"/>
      <c r="AE126" s="408"/>
      <c r="AF126" s="408"/>
      <c r="AG126" s="409"/>
      <c r="AH126" s="41"/>
    </row>
    <row r="127" spans="2:35" ht="13.5" customHeight="1" x14ac:dyDescent="0.2">
      <c r="B127" s="42"/>
      <c r="C127" s="404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6"/>
      <c r="Y127" s="103"/>
      <c r="Z127" s="410"/>
      <c r="AA127" s="411"/>
      <c r="AB127" s="411"/>
      <c r="AC127" s="411"/>
      <c r="AD127" s="411"/>
      <c r="AE127" s="411"/>
      <c r="AF127" s="411"/>
      <c r="AG127" s="412"/>
      <c r="AH127" s="41"/>
    </row>
    <row r="128" spans="2:35" ht="13.5" customHeight="1" thickBot="1" x14ac:dyDescent="0.25">
      <c r="B128" s="42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70"/>
      <c r="AA128" s="170"/>
      <c r="AB128" s="170"/>
      <c r="AC128" s="170"/>
      <c r="AD128" s="170"/>
      <c r="AE128" s="170"/>
      <c r="AF128" s="170"/>
      <c r="AG128" s="170"/>
      <c r="AH128" s="41"/>
    </row>
    <row r="129" spans="1:34" ht="6.75" customHeight="1" x14ac:dyDescent="0.2">
      <c r="B129" s="40"/>
      <c r="C129" s="324" t="s">
        <v>189</v>
      </c>
      <c r="D129" s="324"/>
      <c r="E129" s="324"/>
      <c r="F129" s="324"/>
      <c r="G129" s="388" t="str">
        <f>CONCATENATE(D48," ",L48," ",V48)</f>
        <v xml:space="preserve">  </v>
      </c>
      <c r="H129" s="388"/>
      <c r="I129" s="388"/>
      <c r="J129" s="388"/>
      <c r="K129" s="388"/>
      <c r="L129" s="388"/>
      <c r="M129" s="388"/>
      <c r="N129" s="388"/>
      <c r="O129" s="388"/>
      <c r="P129" s="388"/>
      <c r="Q129" s="388"/>
      <c r="R129" s="388"/>
      <c r="S129" s="388"/>
      <c r="T129" s="388"/>
      <c r="U129" s="388"/>
      <c r="V129" s="388"/>
      <c r="W129" s="388"/>
      <c r="X129" s="388"/>
      <c r="Y129" s="190"/>
      <c r="Z129" s="413" t="s">
        <v>287</v>
      </c>
      <c r="AA129" s="414"/>
      <c r="AB129" s="414"/>
      <c r="AC129" s="415"/>
      <c r="AD129" s="181"/>
      <c r="AE129" s="389" t="s">
        <v>179</v>
      </c>
      <c r="AF129" s="390"/>
      <c r="AG129" s="391"/>
      <c r="AH129" s="41"/>
    </row>
    <row r="130" spans="1:34" ht="6.75" customHeight="1" thickBot="1" x14ac:dyDescent="0.25">
      <c r="B130" s="40"/>
      <c r="C130" s="324"/>
      <c r="D130" s="324"/>
      <c r="E130" s="324"/>
      <c r="F130" s="324"/>
      <c r="G130" s="388"/>
      <c r="H130" s="388"/>
      <c r="I130" s="388"/>
      <c r="J130" s="388"/>
      <c r="K130" s="388"/>
      <c r="L130" s="388"/>
      <c r="M130" s="388"/>
      <c r="N130" s="388"/>
      <c r="O130" s="388"/>
      <c r="P130" s="388"/>
      <c r="Q130" s="388"/>
      <c r="R130" s="388"/>
      <c r="S130" s="388"/>
      <c r="T130" s="388"/>
      <c r="U130" s="388"/>
      <c r="V130" s="388"/>
      <c r="W130" s="388"/>
      <c r="X130" s="388"/>
      <c r="Y130" s="190"/>
      <c r="Z130" s="416"/>
      <c r="AA130" s="417"/>
      <c r="AB130" s="417"/>
      <c r="AC130" s="418"/>
      <c r="AD130" s="181"/>
      <c r="AE130" s="392"/>
      <c r="AF130" s="393"/>
      <c r="AG130" s="394"/>
      <c r="AH130" s="41"/>
    </row>
    <row r="131" spans="1:34" ht="6.75" customHeight="1" x14ac:dyDescent="0.2">
      <c r="B131" s="40"/>
      <c r="C131" s="324"/>
      <c r="D131" s="324"/>
      <c r="E131" s="324"/>
      <c r="F131" s="324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190"/>
      <c r="Z131" s="278" t="str">
        <f>CONCATENATE(Q72," ",U72)</f>
        <v xml:space="preserve"> </v>
      </c>
      <c r="AA131" s="279"/>
      <c r="AB131" s="279"/>
      <c r="AC131" s="280"/>
      <c r="AD131" s="182"/>
      <c r="AE131" s="395">
        <f>AE25</f>
        <v>0</v>
      </c>
      <c r="AF131" s="396"/>
      <c r="AG131" s="397"/>
      <c r="AH131" s="41"/>
    </row>
    <row r="132" spans="1:34" ht="6.75" customHeight="1" x14ac:dyDescent="0.2">
      <c r="B132" s="40"/>
      <c r="C132" s="179"/>
      <c r="D132" s="179"/>
      <c r="E132" s="179"/>
      <c r="F132" s="179"/>
      <c r="G132" s="179"/>
      <c r="H132" s="179"/>
      <c r="I132" s="179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281"/>
      <c r="AA132" s="282"/>
      <c r="AB132" s="282"/>
      <c r="AC132" s="283"/>
      <c r="AD132" s="182"/>
      <c r="AE132" s="395"/>
      <c r="AF132" s="396"/>
      <c r="AG132" s="397"/>
      <c r="AH132" s="41"/>
    </row>
    <row r="133" spans="1:34" ht="6.75" customHeight="1" x14ac:dyDescent="0.2">
      <c r="B133" s="40"/>
      <c r="C133" s="323" t="s">
        <v>270</v>
      </c>
      <c r="D133" s="323"/>
      <c r="E133" s="323"/>
      <c r="F133" s="323"/>
      <c r="G133" s="387" t="str">
        <f>CONCATENATE(C68," ",C70)</f>
        <v xml:space="preserve"> </v>
      </c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188"/>
      <c r="Z133" s="281"/>
      <c r="AA133" s="282"/>
      <c r="AB133" s="282"/>
      <c r="AC133" s="283"/>
      <c r="AD133" s="182"/>
      <c r="AE133" s="395"/>
      <c r="AF133" s="396"/>
      <c r="AG133" s="397"/>
      <c r="AH133" s="41"/>
    </row>
    <row r="134" spans="1:34" ht="6.75" customHeight="1" x14ac:dyDescent="0.2">
      <c r="B134" s="40"/>
      <c r="C134" s="323"/>
      <c r="D134" s="323"/>
      <c r="E134" s="323"/>
      <c r="F134" s="323"/>
      <c r="G134" s="387"/>
      <c r="H134" s="387"/>
      <c r="I134" s="387"/>
      <c r="J134" s="387"/>
      <c r="K134" s="387"/>
      <c r="L134" s="387"/>
      <c r="M134" s="387"/>
      <c r="N134" s="387"/>
      <c r="O134" s="387"/>
      <c r="P134" s="387"/>
      <c r="Q134" s="387"/>
      <c r="R134" s="387"/>
      <c r="S134" s="387"/>
      <c r="T134" s="387"/>
      <c r="U134" s="387"/>
      <c r="V134" s="387"/>
      <c r="W134" s="387"/>
      <c r="X134" s="387"/>
      <c r="Y134" s="188"/>
      <c r="Z134" s="281"/>
      <c r="AA134" s="282"/>
      <c r="AB134" s="282"/>
      <c r="AC134" s="283"/>
      <c r="AD134" s="182"/>
      <c r="AE134" s="395"/>
      <c r="AF134" s="396"/>
      <c r="AG134" s="397"/>
      <c r="AH134" s="41"/>
    </row>
    <row r="135" spans="1:34" ht="6" customHeight="1" x14ac:dyDescent="0.2">
      <c r="B135" s="40"/>
      <c r="C135" s="323"/>
      <c r="D135" s="323"/>
      <c r="E135" s="323"/>
      <c r="F135" s="323"/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7"/>
      <c r="V135" s="387"/>
      <c r="W135" s="387"/>
      <c r="X135" s="387"/>
      <c r="Y135" s="188"/>
      <c r="Z135" s="281"/>
      <c r="AA135" s="282"/>
      <c r="AB135" s="282"/>
      <c r="AC135" s="283"/>
      <c r="AD135" s="182"/>
      <c r="AE135" s="395"/>
      <c r="AF135" s="396"/>
      <c r="AG135" s="397"/>
      <c r="AH135" s="41"/>
    </row>
    <row r="136" spans="1:34" ht="6" customHeight="1" thickBot="1" x14ac:dyDescent="0.25">
      <c r="B136" s="40"/>
      <c r="C136" s="323"/>
      <c r="D136" s="323"/>
      <c r="E136" s="323"/>
      <c r="F136" s="323"/>
      <c r="G136" s="387"/>
      <c r="H136" s="387"/>
      <c r="I136" s="387"/>
      <c r="J136" s="387"/>
      <c r="K136" s="387"/>
      <c r="L136" s="387"/>
      <c r="M136" s="387"/>
      <c r="N136" s="387"/>
      <c r="O136" s="387"/>
      <c r="P136" s="387"/>
      <c r="Q136" s="387"/>
      <c r="R136" s="387"/>
      <c r="S136" s="387"/>
      <c r="T136" s="387"/>
      <c r="U136" s="387"/>
      <c r="V136" s="387"/>
      <c r="W136" s="387"/>
      <c r="X136" s="387"/>
      <c r="Y136" s="189"/>
      <c r="Z136" s="284"/>
      <c r="AA136" s="285"/>
      <c r="AB136" s="285"/>
      <c r="AC136" s="286"/>
      <c r="AD136" s="182"/>
      <c r="AE136" s="398"/>
      <c r="AF136" s="399"/>
      <c r="AG136" s="400"/>
      <c r="AH136" s="41"/>
    </row>
    <row r="137" spans="1:34" ht="5.25" customHeight="1" x14ac:dyDescent="0.2">
      <c r="B137" s="42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70"/>
      <c r="AA137" s="170"/>
      <c r="AB137" s="170"/>
      <c r="AC137" s="170"/>
      <c r="AD137" s="170"/>
      <c r="AE137" s="170"/>
      <c r="AF137" s="170"/>
      <c r="AG137" s="170"/>
      <c r="AH137" s="41"/>
    </row>
    <row r="138" spans="1:34" ht="4.5" customHeight="1" x14ac:dyDescent="0.2">
      <c r="B138" s="42"/>
      <c r="C138" s="22"/>
      <c r="D138" s="22"/>
      <c r="E138" s="22"/>
      <c r="F138" s="22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22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41"/>
    </row>
    <row r="139" spans="1:34" ht="22.5" customHeight="1" x14ac:dyDescent="0.2">
      <c r="A139" s="148"/>
      <c r="B139" s="40"/>
      <c r="C139" s="331" t="s">
        <v>237</v>
      </c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32"/>
      <c r="AB139" s="332"/>
      <c r="AC139" s="332"/>
      <c r="AD139" s="332"/>
      <c r="AE139" s="332"/>
      <c r="AF139" s="332"/>
      <c r="AG139" s="332"/>
      <c r="AH139" s="41"/>
    </row>
    <row r="140" spans="1:34" ht="3" customHeight="1" x14ac:dyDescent="0.2">
      <c r="A140" s="148"/>
      <c r="B140" s="40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41"/>
    </row>
    <row r="141" spans="1:34" s="79" customFormat="1" ht="12" customHeight="1" x14ac:dyDescent="0.2">
      <c r="A141" s="148"/>
      <c r="B141" s="40"/>
      <c r="C141" s="277" t="s">
        <v>239</v>
      </c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277"/>
      <c r="V141" s="277"/>
      <c r="W141" s="277"/>
      <c r="X141" s="277"/>
      <c r="Y141" s="277"/>
      <c r="Z141" s="277"/>
      <c r="AA141" s="277"/>
      <c r="AB141" s="277"/>
      <c r="AC141" s="277"/>
      <c r="AD141" s="277"/>
      <c r="AE141" s="277"/>
      <c r="AF141" s="277"/>
      <c r="AG141" s="277"/>
      <c r="AH141" s="41"/>
    </row>
    <row r="142" spans="1:34" s="79" customFormat="1" ht="12" customHeight="1" x14ac:dyDescent="0.2">
      <c r="A142" s="148"/>
      <c r="B142" s="40"/>
      <c r="C142" s="162"/>
      <c r="D142" s="637" t="s">
        <v>301</v>
      </c>
      <c r="E142" s="637"/>
      <c r="F142" s="637"/>
      <c r="G142" s="637"/>
      <c r="H142" s="637"/>
      <c r="I142" s="637"/>
      <c r="J142" s="637"/>
      <c r="K142" s="637"/>
      <c r="L142" s="637"/>
      <c r="M142" s="637"/>
      <c r="N142" s="637"/>
      <c r="O142" s="637"/>
      <c r="P142" s="637"/>
      <c r="Q142" s="637"/>
      <c r="R142" s="637"/>
      <c r="S142" s="637"/>
      <c r="T142" s="637"/>
      <c r="U142" s="637"/>
      <c r="V142" s="637"/>
      <c r="W142" s="637"/>
      <c r="X142" s="637"/>
      <c r="Y142" s="637"/>
      <c r="Z142" s="637"/>
      <c r="AA142" s="637"/>
      <c r="AB142" s="637"/>
      <c r="AC142" s="637"/>
      <c r="AD142" s="637"/>
      <c r="AE142" s="637"/>
      <c r="AF142" s="637"/>
      <c r="AG142" s="162"/>
      <c r="AH142" s="41"/>
    </row>
    <row r="143" spans="1:34" s="79" customFormat="1" ht="15" customHeight="1" x14ac:dyDescent="0.15">
      <c r="A143" s="148"/>
      <c r="B143" s="40"/>
      <c r="C143" s="633" t="s">
        <v>240</v>
      </c>
      <c r="D143" s="634"/>
      <c r="E143" s="634"/>
      <c r="F143" s="634"/>
      <c r="G143" s="634"/>
      <c r="H143" s="634"/>
      <c r="I143" s="634"/>
      <c r="J143" s="634"/>
      <c r="K143" s="634"/>
      <c r="L143" s="634"/>
      <c r="M143" s="634"/>
      <c r="N143" s="634"/>
      <c r="O143" s="634"/>
      <c r="P143" s="635"/>
      <c r="Q143" s="429" t="s">
        <v>189</v>
      </c>
      <c r="R143" s="430"/>
      <c r="S143" s="430"/>
      <c r="T143" s="430"/>
      <c r="U143" s="430"/>
      <c r="V143" s="430"/>
      <c r="W143" s="430"/>
      <c r="X143" s="430"/>
      <c r="Y143" s="431"/>
      <c r="Z143" s="432" t="s">
        <v>231</v>
      </c>
      <c r="AA143" s="433"/>
      <c r="AB143" s="433"/>
      <c r="AC143" s="433"/>
      <c r="AD143" s="433"/>
      <c r="AE143" s="433"/>
      <c r="AF143" s="433"/>
      <c r="AG143" s="434"/>
      <c r="AH143" s="41"/>
    </row>
    <row r="144" spans="1:34" s="79" customFormat="1" ht="15" customHeight="1" x14ac:dyDescent="0.2">
      <c r="A144" s="148"/>
      <c r="B144" s="40"/>
      <c r="C144" s="333" t="s">
        <v>286</v>
      </c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5"/>
      <c r="Q144" s="608" t="s">
        <v>279</v>
      </c>
      <c r="R144" s="609"/>
      <c r="S144" s="340"/>
      <c r="T144" s="340"/>
      <c r="U144" s="340"/>
      <c r="V144" s="340"/>
      <c r="W144" s="340"/>
      <c r="X144" s="340"/>
      <c r="Y144" s="341"/>
      <c r="Z144" s="608" t="s">
        <v>279</v>
      </c>
      <c r="AA144" s="609"/>
      <c r="AB144" s="340"/>
      <c r="AC144" s="340"/>
      <c r="AD144" s="340"/>
      <c r="AE144" s="340"/>
      <c r="AF144" s="340"/>
      <c r="AG144" s="341"/>
      <c r="AH144" s="41"/>
    </row>
    <row r="145" spans="1:36" s="79" customFormat="1" ht="15" customHeight="1" x14ac:dyDescent="0.2">
      <c r="A145" s="148"/>
      <c r="B145" s="40"/>
      <c r="C145" s="333" t="s">
        <v>280</v>
      </c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4"/>
      <c r="P145" s="335"/>
      <c r="Q145" s="336" t="s">
        <v>238</v>
      </c>
      <c r="R145" s="337"/>
      <c r="S145" s="337"/>
      <c r="T145" s="337"/>
      <c r="U145" s="337"/>
      <c r="V145" s="337"/>
      <c r="W145" s="337"/>
      <c r="X145" s="337"/>
      <c r="Y145" s="338"/>
      <c r="Z145" s="339" t="s">
        <v>238</v>
      </c>
      <c r="AA145" s="340"/>
      <c r="AB145" s="340"/>
      <c r="AC145" s="340"/>
      <c r="AD145" s="340"/>
      <c r="AE145" s="340"/>
      <c r="AF145" s="340"/>
      <c r="AG145" s="341"/>
      <c r="AH145" s="41"/>
    </row>
    <row r="146" spans="1:36" s="79" customFormat="1" ht="15" customHeight="1" x14ac:dyDescent="0.2">
      <c r="A146" s="148"/>
      <c r="B146" s="40"/>
      <c r="C146" s="333" t="s">
        <v>281</v>
      </c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5"/>
      <c r="Q146" s="336" t="s">
        <v>238</v>
      </c>
      <c r="R146" s="337"/>
      <c r="S146" s="337"/>
      <c r="T146" s="337"/>
      <c r="U146" s="337"/>
      <c r="V146" s="337"/>
      <c r="W146" s="337"/>
      <c r="X146" s="337"/>
      <c r="Y146" s="338"/>
      <c r="Z146" s="339" t="s">
        <v>238</v>
      </c>
      <c r="AA146" s="340"/>
      <c r="AB146" s="340"/>
      <c r="AC146" s="340"/>
      <c r="AD146" s="340"/>
      <c r="AE146" s="340"/>
      <c r="AF146" s="340"/>
      <c r="AG146" s="341"/>
      <c r="AH146" s="41"/>
    </row>
    <row r="147" spans="1:36" s="79" customFormat="1" ht="15" customHeight="1" x14ac:dyDescent="0.2">
      <c r="A147" s="148"/>
      <c r="B147" s="40"/>
      <c r="C147" s="333" t="s">
        <v>282</v>
      </c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5"/>
      <c r="Q147" s="336" t="s">
        <v>238</v>
      </c>
      <c r="R147" s="337"/>
      <c r="S147" s="337"/>
      <c r="T147" s="337"/>
      <c r="U147" s="337"/>
      <c r="V147" s="337"/>
      <c r="W147" s="337"/>
      <c r="X147" s="337"/>
      <c r="Y147" s="338"/>
      <c r="Z147" s="339" t="s">
        <v>238</v>
      </c>
      <c r="AA147" s="340"/>
      <c r="AB147" s="340"/>
      <c r="AC147" s="340"/>
      <c r="AD147" s="340"/>
      <c r="AE147" s="340"/>
      <c r="AF147" s="340"/>
      <c r="AG147" s="341"/>
      <c r="AH147" s="41"/>
    </row>
    <row r="148" spans="1:36" customFormat="1" ht="6" customHeight="1" x14ac:dyDescent="0.2">
      <c r="A148" s="148"/>
      <c r="B148" s="183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5"/>
      <c r="AI148" s="79"/>
      <c r="AJ148" s="79"/>
    </row>
    <row r="149" spans="1:36" s="79" customFormat="1" ht="15" customHeight="1" x14ac:dyDescent="0.2">
      <c r="A149" s="148"/>
      <c r="B149" s="40"/>
      <c r="C149" s="420" t="s">
        <v>325</v>
      </c>
      <c r="D149" s="421"/>
      <c r="E149" s="421"/>
      <c r="F149" s="421"/>
      <c r="G149" s="421"/>
      <c r="H149" s="421"/>
      <c r="I149" s="421"/>
      <c r="J149" s="421"/>
      <c r="K149" s="421"/>
      <c r="L149" s="422"/>
      <c r="M149" s="385" t="s">
        <v>241</v>
      </c>
      <c r="N149" s="385"/>
      <c r="O149" s="385"/>
      <c r="P149" s="385"/>
      <c r="Q149" s="339"/>
      <c r="R149" s="340"/>
      <c r="S149" s="340"/>
      <c r="T149" s="340"/>
      <c r="U149" s="340"/>
      <c r="V149" s="340"/>
      <c r="W149" s="340"/>
      <c r="X149" s="340"/>
      <c r="Y149" s="341"/>
      <c r="Z149" s="339"/>
      <c r="AA149" s="340"/>
      <c r="AB149" s="340"/>
      <c r="AC149" s="340"/>
      <c r="AD149" s="340"/>
      <c r="AE149" s="340"/>
      <c r="AF149" s="340"/>
      <c r="AG149" s="341"/>
      <c r="AH149" s="41"/>
    </row>
    <row r="150" spans="1:36" s="79" customFormat="1" ht="15" customHeight="1" x14ac:dyDescent="0.2">
      <c r="A150" s="148"/>
      <c r="B150" s="40"/>
      <c r="C150" s="423"/>
      <c r="D150" s="424"/>
      <c r="E150" s="424"/>
      <c r="F150" s="424"/>
      <c r="G150" s="424"/>
      <c r="H150" s="424"/>
      <c r="I150" s="424"/>
      <c r="J150" s="424"/>
      <c r="K150" s="424"/>
      <c r="L150" s="425"/>
      <c r="M150" s="385" t="s">
        <v>107</v>
      </c>
      <c r="N150" s="385"/>
      <c r="O150" s="385"/>
      <c r="P150" s="385"/>
      <c r="Q150" s="339"/>
      <c r="R150" s="340"/>
      <c r="S150" s="340"/>
      <c r="T150" s="340"/>
      <c r="U150" s="340"/>
      <c r="V150" s="340"/>
      <c r="W150" s="340"/>
      <c r="X150" s="340"/>
      <c r="Y150" s="341"/>
      <c r="Z150" s="339"/>
      <c r="AA150" s="340"/>
      <c r="AB150" s="340"/>
      <c r="AC150" s="340"/>
      <c r="AD150" s="340"/>
      <c r="AE150" s="340"/>
      <c r="AF150" s="340"/>
      <c r="AG150" s="341"/>
      <c r="AH150" s="41"/>
    </row>
    <row r="151" spans="1:36" s="79" customFormat="1" ht="15" customHeight="1" x14ac:dyDescent="0.2">
      <c r="A151" s="148"/>
      <c r="B151" s="40"/>
      <c r="C151" s="426"/>
      <c r="D151" s="427"/>
      <c r="E151" s="427"/>
      <c r="F151" s="427"/>
      <c r="G151" s="427"/>
      <c r="H151" s="427"/>
      <c r="I151" s="427"/>
      <c r="J151" s="427"/>
      <c r="K151" s="427"/>
      <c r="L151" s="428"/>
      <c r="M151" s="385" t="s">
        <v>108</v>
      </c>
      <c r="N151" s="385"/>
      <c r="O151" s="385"/>
      <c r="P151" s="385"/>
      <c r="Q151" s="339"/>
      <c r="R151" s="340"/>
      <c r="S151" s="340"/>
      <c r="T151" s="340"/>
      <c r="U151" s="340"/>
      <c r="V151" s="340"/>
      <c r="W151" s="340"/>
      <c r="X151" s="340"/>
      <c r="Y151" s="341"/>
      <c r="Z151" s="339"/>
      <c r="AA151" s="340"/>
      <c r="AB151" s="340"/>
      <c r="AC151" s="340"/>
      <c r="AD151" s="340"/>
      <c r="AE151" s="340"/>
      <c r="AF151" s="340"/>
      <c r="AG151" s="341"/>
      <c r="AH151" s="41"/>
    </row>
    <row r="152" spans="1:36" customFormat="1" ht="6" customHeight="1" x14ac:dyDescent="0.2">
      <c r="A152" s="148"/>
      <c r="B152" s="183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6"/>
      <c r="N152" s="186"/>
      <c r="O152" s="186"/>
      <c r="P152" s="186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5"/>
      <c r="AI152" s="79"/>
      <c r="AJ152" s="79"/>
    </row>
    <row r="153" spans="1:36" s="79" customFormat="1" ht="15" customHeight="1" x14ac:dyDescent="0.2">
      <c r="A153" s="148"/>
      <c r="B153" s="40"/>
      <c r="C153" s="638" t="s">
        <v>324</v>
      </c>
      <c r="D153" s="639"/>
      <c r="E153" s="639"/>
      <c r="F153" s="639"/>
      <c r="G153" s="639"/>
      <c r="H153" s="639"/>
      <c r="I153" s="639"/>
      <c r="J153" s="639"/>
      <c r="K153" s="639"/>
      <c r="L153" s="640"/>
      <c r="M153" s="385" t="s">
        <v>241</v>
      </c>
      <c r="N153" s="385"/>
      <c r="O153" s="385"/>
      <c r="P153" s="385"/>
      <c r="Q153" s="339"/>
      <c r="R153" s="340"/>
      <c r="S153" s="340"/>
      <c r="T153" s="340"/>
      <c r="U153" s="340"/>
      <c r="V153" s="340"/>
      <c r="W153" s="340"/>
      <c r="X153" s="340"/>
      <c r="Y153" s="341"/>
      <c r="Z153" s="339"/>
      <c r="AA153" s="340"/>
      <c r="AB153" s="340"/>
      <c r="AC153" s="340"/>
      <c r="AD153" s="340"/>
      <c r="AE153" s="340"/>
      <c r="AF153" s="340"/>
      <c r="AG153" s="341"/>
      <c r="AH153" s="41"/>
    </row>
    <row r="154" spans="1:36" s="79" customFormat="1" ht="15" customHeight="1" x14ac:dyDescent="0.2">
      <c r="A154" s="148"/>
      <c r="B154" s="40"/>
      <c r="C154" s="641"/>
      <c r="D154" s="642"/>
      <c r="E154" s="642"/>
      <c r="F154" s="642"/>
      <c r="G154" s="642"/>
      <c r="H154" s="642"/>
      <c r="I154" s="642"/>
      <c r="J154" s="642"/>
      <c r="K154" s="642"/>
      <c r="L154" s="643"/>
      <c r="M154" s="385" t="s">
        <v>107</v>
      </c>
      <c r="N154" s="385"/>
      <c r="O154" s="385"/>
      <c r="P154" s="385"/>
      <c r="Q154" s="339"/>
      <c r="R154" s="340"/>
      <c r="S154" s="340"/>
      <c r="T154" s="340"/>
      <c r="U154" s="340"/>
      <c r="V154" s="340"/>
      <c r="W154" s="340"/>
      <c r="X154" s="340"/>
      <c r="Y154" s="341"/>
      <c r="Z154" s="339"/>
      <c r="AA154" s="340"/>
      <c r="AB154" s="340"/>
      <c r="AC154" s="340"/>
      <c r="AD154" s="340"/>
      <c r="AE154" s="340"/>
      <c r="AF154" s="340"/>
      <c r="AG154" s="341"/>
      <c r="AH154" s="41"/>
    </row>
    <row r="155" spans="1:36" s="79" customFormat="1" ht="15" customHeight="1" x14ac:dyDescent="0.2">
      <c r="A155" s="148"/>
      <c r="B155" s="40"/>
      <c r="C155" s="644"/>
      <c r="D155" s="645"/>
      <c r="E155" s="645"/>
      <c r="F155" s="645"/>
      <c r="G155" s="645"/>
      <c r="H155" s="645"/>
      <c r="I155" s="645"/>
      <c r="J155" s="645"/>
      <c r="K155" s="645"/>
      <c r="L155" s="646"/>
      <c r="M155" s="385" t="s">
        <v>108</v>
      </c>
      <c r="N155" s="385"/>
      <c r="O155" s="385"/>
      <c r="P155" s="385"/>
      <c r="Q155" s="339"/>
      <c r="R155" s="340"/>
      <c r="S155" s="340"/>
      <c r="T155" s="340"/>
      <c r="U155" s="340"/>
      <c r="V155" s="340"/>
      <c r="W155" s="340"/>
      <c r="X155" s="340"/>
      <c r="Y155" s="341"/>
      <c r="Z155" s="339"/>
      <c r="AA155" s="340"/>
      <c r="AB155" s="340"/>
      <c r="AC155" s="340"/>
      <c r="AD155" s="340"/>
      <c r="AE155" s="340"/>
      <c r="AF155" s="340"/>
      <c r="AG155" s="341"/>
      <c r="AH155" s="41"/>
    </row>
    <row r="156" spans="1:36" ht="15" customHeight="1" x14ac:dyDescent="0.2">
      <c r="A156" s="148"/>
      <c r="B156" s="40"/>
      <c r="C156" s="649" t="s">
        <v>242</v>
      </c>
      <c r="D156" s="649"/>
      <c r="E156" s="649"/>
      <c r="F156" s="649"/>
      <c r="G156" s="649"/>
      <c r="H156" s="649"/>
      <c r="I156" s="649"/>
      <c r="J156" s="649"/>
      <c r="K156" s="649"/>
      <c r="L156" s="649"/>
      <c r="M156" s="385" t="s">
        <v>241</v>
      </c>
      <c r="N156" s="385"/>
      <c r="O156" s="385"/>
      <c r="P156" s="385"/>
      <c r="Q156" s="339"/>
      <c r="R156" s="340"/>
      <c r="S156" s="340"/>
      <c r="T156" s="340"/>
      <c r="U156" s="340"/>
      <c r="V156" s="340"/>
      <c r="W156" s="340"/>
      <c r="X156" s="340"/>
      <c r="Y156" s="341"/>
      <c r="Z156" s="339"/>
      <c r="AA156" s="340"/>
      <c r="AB156" s="340"/>
      <c r="AC156" s="340"/>
      <c r="AD156" s="340"/>
      <c r="AE156" s="340"/>
      <c r="AF156" s="340"/>
      <c r="AG156" s="341"/>
      <c r="AH156" s="41"/>
    </row>
    <row r="157" spans="1:36" customFormat="1" ht="6" customHeight="1" x14ac:dyDescent="0.2">
      <c r="A157" s="148"/>
      <c r="B157" s="183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5"/>
      <c r="AI157" s="79"/>
      <c r="AJ157" s="79"/>
    </row>
    <row r="158" spans="1:36" ht="15" customHeight="1" x14ac:dyDescent="0.2">
      <c r="A158" s="148"/>
      <c r="B158" s="40"/>
      <c r="C158" s="647" t="s">
        <v>243</v>
      </c>
      <c r="D158" s="648"/>
      <c r="E158" s="648"/>
      <c r="F158" s="648"/>
      <c r="G158" s="648"/>
      <c r="H158" s="648"/>
      <c r="I158" s="648"/>
      <c r="J158" s="648"/>
      <c r="K158" s="648"/>
      <c r="L158" s="648"/>
      <c r="M158" s="648"/>
      <c r="N158" s="648"/>
      <c r="O158" s="648"/>
      <c r="P158" s="648"/>
      <c r="Q158" s="648"/>
      <c r="R158" s="648"/>
      <c r="S158" s="648"/>
      <c r="T158" s="648"/>
      <c r="U158" s="648"/>
      <c r="V158" s="648"/>
      <c r="W158" s="648"/>
      <c r="X158" s="648"/>
      <c r="Y158" s="648"/>
      <c r="Z158" s="648"/>
      <c r="AA158" s="648"/>
      <c r="AB158" s="648"/>
      <c r="AC158" s="648"/>
      <c r="AD158" s="648"/>
      <c r="AE158" s="648"/>
      <c r="AF158" s="648"/>
      <c r="AG158" s="648"/>
      <c r="AH158" s="41"/>
    </row>
    <row r="159" spans="1:36" customFormat="1" ht="6" customHeight="1" x14ac:dyDescent="0.2">
      <c r="A159" s="148"/>
      <c r="B159" s="183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5"/>
      <c r="AI159" s="79"/>
      <c r="AJ159" s="79"/>
    </row>
    <row r="160" spans="1:36" ht="15" customHeight="1" x14ac:dyDescent="0.2">
      <c r="A160" s="148"/>
      <c r="B160" s="40"/>
      <c r="C160" s="656" t="s">
        <v>244</v>
      </c>
      <c r="D160" s="657"/>
      <c r="E160" s="658"/>
      <c r="F160" s="656" t="s">
        <v>189</v>
      </c>
      <c r="G160" s="657"/>
      <c r="H160" s="657"/>
      <c r="I160" s="657"/>
      <c r="J160" s="657"/>
      <c r="K160" s="658"/>
      <c r="L160" s="656" t="s">
        <v>231</v>
      </c>
      <c r="M160" s="657"/>
      <c r="N160" s="657"/>
      <c r="O160" s="657"/>
      <c r="P160" s="658"/>
      <c r="Q160" s="656" t="s">
        <v>245</v>
      </c>
      <c r="R160" s="657"/>
      <c r="S160" s="657"/>
      <c r="T160" s="657"/>
      <c r="U160" s="658"/>
      <c r="V160" s="656" t="s">
        <v>189</v>
      </c>
      <c r="W160" s="657"/>
      <c r="X160" s="657"/>
      <c r="Y160" s="657"/>
      <c r="Z160" s="657"/>
      <c r="AA160" s="658"/>
      <c r="AB160" s="656" t="s">
        <v>231</v>
      </c>
      <c r="AC160" s="657"/>
      <c r="AD160" s="657"/>
      <c r="AE160" s="657"/>
      <c r="AF160" s="657"/>
      <c r="AG160" s="658"/>
      <c r="AH160" s="41"/>
    </row>
    <row r="161" spans="1:36" ht="15" customHeight="1" x14ac:dyDescent="0.2">
      <c r="B161" s="40"/>
      <c r="C161" s="650" t="s">
        <v>246</v>
      </c>
      <c r="D161" s="651"/>
      <c r="E161" s="652"/>
      <c r="F161" s="339"/>
      <c r="G161" s="340"/>
      <c r="H161" s="340"/>
      <c r="I161" s="340"/>
      <c r="J161" s="340"/>
      <c r="K161" s="341"/>
      <c r="L161" s="339"/>
      <c r="M161" s="340"/>
      <c r="N161" s="340"/>
      <c r="O161" s="340"/>
      <c r="P161" s="340"/>
      <c r="Q161" s="650" t="s">
        <v>246</v>
      </c>
      <c r="R161" s="651"/>
      <c r="S161" s="651"/>
      <c r="T161" s="651"/>
      <c r="U161" s="652"/>
      <c r="V161" s="339"/>
      <c r="W161" s="340"/>
      <c r="X161" s="340"/>
      <c r="Y161" s="340"/>
      <c r="Z161" s="340"/>
      <c r="AA161" s="341"/>
      <c r="AB161" s="339"/>
      <c r="AC161" s="340"/>
      <c r="AD161" s="340"/>
      <c r="AE161" s="340"/>
      <c r="AF161" s="340"/>
      <c r="AG161" s="341"/>
      <c r="AH161" s="41"/>
    </row>
    <row r="162" spans="1:36" ht="15" customHeight="1" x14ac:dyDescent="0.2">
      <c r="B162" s="40"/>
      <c r="C162" s="650" t="s">
        <v>241</v>
      </c>
      <c r="D162" s="651"/>
      <c r="E162" s="652"/>
      <c r="F162" s="339"/>
      <c r="G162" s="340"/>
      <c r="H162" s="340"/>
      <c r="I162" s="340"/>
      <c r="J162" s="340"/>
      <c r="K162" s="341"/>
      <c r="L162" s="339"/>
      <c r="M162" s="340"/>
      <c r="N162" s="340"/>
      <c r="O162" s="340"/>
      <c r="P162" s="341"/>
      <c r="Q162" s="650" t="s">
        <v>241</v>
      </c>
      <c r="R162" s="651"/>
      <c r="S162" s="651"/>
      <c r="T162" s="651"/>
      <c r="U162" s="652"/>
      <c r="V162" s="339"/>
      <c r="W162" s="340"/>
      <c r="X162" s="340"/>
      <c r="Y162" s="340"/>
      <c r="Z162" s="340"/>
      <c r="AA162" s="341"/>
      <c r="AB162" s="339"/>
      <c r="AC162" s="340"/>
      <c r="AD162" s="340"/>
      <c r="AE162" s="340"/>
      <c r="AF162" s="340"/>
      <c r="AG162" s="341"/>
      <c r="AH162" s="41"/>
    </row>
    <row r="163" spans="1:36" ht="15" customHeight="1" x14ac:dyDescent="0.2">
      <c r="B163" s="40"/>
      <c r="C163" s="650" t="s">
        <v>107</v>
      </c>
      <c r="D163" s="651"/>
      <c r="E163" s="652"/>
      <c r="F163" s="339"/>
      <c r="G163" s="340"/>
      <c r="H163" s="340"/>
      <c r="I163" s="340"/>
      <c r="J163" s="340"/>
      <c r="K163" s="341"/>
      <c r="L163" s="339"/>
      <c r="M163" s="340"/>
      <c r="N163" s="340"/>
      <c r="O163" s="340"/>
      <c r="P163" s="341"/>
      <c r="Q163" s="650" t="s">
        <v>247</v>
      </c>
      <c r="R163" s="651"/>
      <c r="S163" s="651"/>
      <c r="T163" s="651"/>
      <c r="U163" s="652"/>
      <c r="V163" s="339"/>
      <c r="W163" s="340"/>
      <c r="X163" s="340"/>
      <c r="Y163" s="340"/>
      <c r="Z163" s="340"/>
      <c r="AA163" s="341"/>
      <c r="AB163" s="339"/>
      <c r="AC163" s="340"/>
      <c r="AD163" s="340"/>
      <c r="AE163" s="340"/>
      <c r="AF163" s="340"/>
      <c r="AG163" s="341"/>
      <c r="AH163" s="41"/>
    </row>
    <row r="164" spans="1:36" ht="15" customHeight="1" x14ac:dyDescent="0.2">
      <c r="B164" s="40"/>
      <c r="C164" s="650" t="s">
        <v>248</v>
      </c>
      <c r="D164" s="651"/>
      <c r="E164" s="652"/>
      <c r="F164" s="339"/>
      <c r="G164" s="340"/>
      <c r="H164" s="340"/>
      <c r="I164" s="340"/>
      <c r="J164" s="340"/>
      <c r="K164" s="341"/>
      <c r="L164" s="339"/>
      <c r="M164" s="340"/>
      <c r="N164" s="340"/>
      <c r="O164" s="340"/>
      <c r="P164" s="341"/>
      <c r="Q164" s="653"/>
      <c r="R164" s="654"/>
      <c r="S164" s="654"/>
      <c r="T164" s="654"/>
      <c r="U164" s="655"/>
      <c r="V164" s="339"/>
      <c r="W164" s="340"/>
      <c r="X164" s="340"/>
      <c r="Y164" s="340"/>
      <c r="Z164" s="340"/>
      <c r="AA164" s="341"/>
      <c r="AB164" s="339"/>
      <c r="AC164" s="340"/>
      <c r="AD164" s="340"/>
      <c r="AE164" s="340"/>
      <c r="AF164" s="340"/>
      <c r="AG164" s="341"/>
      <c r="AH164" s="41"/>
    </row>
    <row r="165" spans="1:36" customFormat="1" ht="6" customHeight="1" x14ac:dyDescent="0.2">
      <c r="A165" s="148"/>
      <c r="B165" s="183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5"/>
      <c r="AI165" s="79"/>
      <c r="AJ165" s="79"/>
    </row>
    <row r="166" spans="1:36" ht="15" customHeight="1" x14ac:dyDescent="0.2">
      <c r="A166" s="148"/>
      <c r="B166" s="40"/>
      <c r="C166" s="664" t="s">
        <v>249</v>
      </c>
      <c r="D166" s="665"/>
      <c r="E166" s="665"/>
      <c r="F166" s="665"/>
      <c r="G166" s="665"/>
      <c r="H166" s="665"/>
      <c r="I166" s="665"/>
      <c r="J166" s="665"/>
      <c r="K166" s="665"/>
      <c r="L166" s="666"/>
      <c r="M166" s="650" t="s">
        <v>251</v>
      </c>
      <c r="N166" s="651"/>
      <c r="O166" s="651"/>
      <c r="P166" s="652"/>
      <c r="Q166" s="650" t="s">
        <v>246</v>
      </c>
      <c r="R166" s="651"/>
      <c r="S166" s="651"/>
      <c r="T166" s="651"/>
      <c r="U166" s="652"/>
      <c r="V166" s="339"/>
      <c r="W166" s="340"/>
      <c r="X166" s="341"/>
      <c r="Y166" s="650" t="s">
        <v>256</v>
      </c>
      <c r="Z166" s="651"/>
      <c r="AA166" s="651"/>
      <c r="AB166" s="652"/>
      <c r="AC166" s="339"/>
      <c r="AD166" s="340"/>
      <c r="AE166" s="340"/>
      <c r="AF166" s="340"/>
      <c r="AG166" s="341"/>
      <c r="AH166" s="41"/>
    </row>
    <row r="167" spans="1:36" ht="15" customHeight="1" x14ac:dyDescent="0.2">
      <c r="A167" s="148"/>
      <c r="B167" s="40"/>
      <c r="C167" s="667"/>
      <c r="D167" s="668"/>
      <c r="E167" s="668"/>
      <c r="F167" s="668"/>
      <c r="G167" s="668"/>
      <c r="H167" s="668"/>
      <c r="I167" s="668"/>
      <c r="J167" s="668"/>
      <c r="K167" s="668"/>
      <c r="L167" s="669"/>
      <c r="M167" s="650" t="s">
        <v>250</v>
      </c>
      <c r="N167" s="651"/>
      <c r="O167" s="651"/>
      <c r="P167" s="652"/>
      <c r="Q167" s="650" t="s">
        <v>252</v>
      </c>
      <c r="R167" s="651"/>
      <c r="S167" s="651"/>
      <c r="T167" s="651"/>
      <c r="U167" s="652"/>
      <c r="V167" s="339"/>
      <c r="W167" s="340"/>
      <c r="X167" s="341"/>
      <c r="Y167" s="661" t="s">
        <v>253</v>
      </c>
      <c r="Z167" s="662"/>
      <c r="AA167" s="662"/>
      <c r="AB167" s="662"/>
      <c r="AC167" s="662"/>
      <c r="AD167" s="662"/>
      <c r="AE167" s="662"/>
      <c r="AF167" s="662"/>
      <c r="AG167" s="663"/>
      <c r="AH167" s="41"/>
    </row>
    <row r="168" spans="1:36" customFormat="1" ht="6" customHeight="1" x14ac:dyDescent="0.2">
      <c r="A168" s="148"/>
      <c r="B168" s="183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6"/>
      <c r="N168" s="186"/>
      <c r="O168" s="186"/>
      <c r="P168" s="186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5"/>
      <c r="AI168" s="79"/>
      <c r="AJ168" s="79"/>
    </row>
    <row r="169" spans="1:36" ht="15" customHeight="1" x14ac:dyDescent="0.2">
      <c r="A169" s="148"/>
      <c r="B169" s="40"/>
      <c r="C169" s="429" t="s">
        <v>254</v>
      </c>
      <c r="D169" s="430"/>
      <c r="E169" s="430"/>
      <c r="F169" s="430"/>
      <c r="G169" s="430"/>
      <c r="H169" s="430"/>
      <c r="I169" s="430"/>
      <c r="J169" s="430"/>
      <c r="K169" s="430"/>
      <c r="L169" s="431"/>
      <c r="M169" s="385" t="s">
        <v>241</v>
      </c>
      <c r="N169" s="385"/>
      <c r="O169" s="385"/>
      <c r="P169" s="385"/>
      <c r="Q169" s="339"/>
      <c r="R169" s="340"/>
      <c r="S169" s="340"/>
      <c r="T169" s="340"/>
      <c r="U169" s="340"/>
      <c r="V169" s="340"/>
      <c r="W169" s="340"/>
      <c r="X169" s="341"/>
      <c r="Y169" s="650" t="s">
        <v>315</v>
      </c>
      <c r="Z169" s="651"/>
      <c r="AA169" s="651"/>
      <c r="AB169" s="652"/>
      <c r="AC169" s="339"/>
      <c r="AD169" s="340"/>
      <c r="AE169" s="340"/>
      <c r="AF169" s="340"/>
      <c r="AG169" s="341"/>
      <c r="AH169" s="41"/>
    </row>
    <row r="170" spans="1:36" customFormat="1" ht="6" customHeight="1" x14ac:dyDescent="0.2">
      <c r="A170" s="148"/>
      <c r="B170" s="183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5"/>
      <c r="AI170" s="79"/>
      <c r="AJ170" s="79"/>
    </row>
    <row r="171" spans="1:36" ht="15" customHeight="1" x14ac:dyDescent="0.2">
      <c r="A171" s="148"/>
      <c r="B171" s="40"/>
      <c r="C171" s="659" t="s">
        <v>255</v>
      </c>
      <c r="D171" s="660"/>
      <c r="E171" s="660"/>
      <c r="F171" s="660"/>
      <c r="G171" s="660"/>
      <c r="H171" s="660"/>
      <c r="I171" s="660"/>
      <c r="J171" s="660"/>
      <c r="K171" s="660"/>
      <c r="L171" s="660"/>
      <c r="M171" s="660"/>
      <c r="N171" s="660"/>
      <c r="O171" s="660"/>
      <c r="P171" s="660"/>
      <c r="Q171" s="660"/>
      <c r="R171" s="660"/>
      <c r="S171" s="660"/>
      <c r="T171" s="660"/>
      <c r="U171" s="660"/>
      <c r="V171" s="660"/>
      <c r="W171" s="660"/>
      <c r="X171" s="660"/>
      <c r="Y171" s="660"/>
      <c r="Z171" s="660"/>
      <c r="AA171" s="660"/>
      <c r="AB171" s="660"/>
      <c r="AC171" s="660"/>
      <c r="AD171" s="660"/>
      <c r="AE171" s="660"/>
      <c r="AF171" s="660"/>
      <c r="AG171" s="660"/>
      <c r="AH171" s="41"/>
    </row>
    <row r="172" spans="1:36" ht="15" customHeight="1" x14ac:dyDescent="0.2">
      <c r="B172" s="40"/>
      <c r="C172" s="653" t="s">
        <v>257</v>
      </c>
      <c r="D172" s="654"/>
      <c r="E172" s="654"/>
      <c r="F172" s="654"/>
      <c r="G172" s="655"/>
      <c r="H172" s="167"/>
      <c r="I172" s="653" t="s">
        <v>263</v>
      </c>
      <c r="J172" s="654"/>
      <c r="K172" s="654"/>
      <c r="L172" s="654"/>
      <c r="M172" s="654"/>
      <c r="N172" s="655"/>
      <c r="O172" s="653"/>
      <c r="P172" s="655"/>
      <c r="Q172" s="146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47"/>
      <c r="AH172" s="41"/>
    </row>
    <row r="173" spans="1:36" ht="15" customHeight="1" x14ac:dyDescent="0.2">
      <c r="B173" s="40"/>
      <c r="C173" s="653" t="s">
        <v>258</v>
      </c>
      <c r="D173" s="654"/>
      <c r="E173" s="654"/>
      <c r="F173" s="654"/>
      <c r="G173" s="655"/>
      <c r="H173" s="167"/>
      <c r="I173" s="653" t="s">
        <v>264</v>
      </c>
      <c r="J173" s="654"/>
      <c r="K173" s="654"/>
      <c r="L173" s="654"/>
      <c r="M173" s="654"/>
      <c r="N173" s="655"/>
      <c r="O173" s="653"/>
      <c r="P173" s="655"/>
      <c r="Q173" s="40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41"/>
      <c r="AH173" s="41"/>
    </row>
    <row r="174" spans="1:36" ht="15" customHeight="1" x14ac:dyDescent="0.2">
      <c r="B174" s="40"/>
      <c r="C174" s="653" t="s">
        <v>259</v>
      </c>
      <c r="D174" s="654"/>
      <c r="E174" s="654"/>
      <c r="F174" s="654"/>
      <c r="G174" s="655"/>
      <c r="H174" s="167"/>
      <c r="I174" s="653" t="s">
        <v>265</v>
      </c>
      <c r="J174" s="654"/>
      <c r="K174" s="654"/>
      <c r="L174" s="654"/>
      <c r="M174" s="654"/>
      <c r="N174" s="655"/>
      <c r="O174" s="653"/>
      <c r="P174" s="655"/>
      <c r="Q174" s="40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41"/>
      <c r="AH174" s="41"/>
    </row>
    <row r="175" spans="1:36" ht="15" customHeight="1" x14ac:dyDescent="0.2">
      <c r="B175" s="40"/>
      <c r="C175" s="653" t="s">
        <v>260</v>
      </c>
      <c r="D175" s="654"/>
      <c r="E175" s="654"/>
      <c r="F175" s="654"/>
      <c r="G175" s="655"/>
      <c r="H175" s="167"/>
      <c r="I175" s="653" t="s">
        <v>266</v>
      </c>
      <c r="J175" s="654"/>
      <c r="K175" s="654"/>
      <c r="L175" s="654"/>
      <c r="M175" s="654"/>
      <c r="N175" s="655"/>
      <c r="O175" s="653"/>
      <c r="P175" s="655"/>
      <c r="Q175" s="40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41"/>
      <c r="AH175" s="41"/>
    </row>
    <row r="176" spans="1:36" ht="15" customHeight="1" x14ac:dyDescent="0.2">
      <c r="B176" s="40"/>
      <c r="C176" s="653" t="s">
        <v>261</v>
      </c>
      <c r="D176" s="654"/>
      <c r="E176" s="654"/>
      <c r="F176" s="654"/>
      <c r="G176" s="655"/>
      <c r="H176" s="167"/>
      <c r="I176" s="653" t="s">
        <v>267</v>
      </c>
      <c r="J176" s="654"/>
      <c r="K176" s="654"/>
      <c r="L176" s="654"/>
      <c r="M176" s="654"/>
      <c r="N176" s="655"/>
      <c r="O176" s="653"/>
      <c r="P176" s="655"/>
      <c r="Q176" s="40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41"/>
      <c r="AH176" s="41"/>
    </row>
    <row r="177" spans="2:34" ht="15" customHeight="1" x14ac:dyDescent="0.2">
      <c r="B177" s="40"/>
      <c r="C177" s="653" t="s">
        <v>262</v>
      </c>
      <c r="D177" s="654"/>
      <c r="E177" s="654"/>
      <c r="F177" s="654"/>
      <c r="G177" s="655"/>
      <c r="H177" s="167"/>
      <c r="I177" s="653"/>
      <c r="J177" s="654"/>
      <c r="K177" s="654"/>
      <c r="L177" s="654"/>
      <c r="M177" s="654"/>
      <c r="N177" s="655"/>
      <c r="O177" s="653"/>
      <c r="P177" s="655"/>
      <c r="Q177" s="40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41"/>
      <c r="AH177" s="41"/>
    </row>
    <row r="178" spans="2:34" ht="15" customHeight="1" x14ac:dyDescent="0.2">
      <c r="B178" s="40"/>
      <c r="C178" s="653"/>
      <c r="D178" s="654"/>
      <c r="E178" s="654"/>
      <c r="F178" s="654"/>
      <c r="G178" s="655"/>
      <c r="H178" s="167"/>
      <c r="I178" s="653" t="s">
        <v>311</v>
      </c>
      <c r="J178" s="654"/>
      <c r="K178" s="654"/>
      <c r="L178" s="654"/>
      <c r="M178" s="654"/>
      <c r="N178" s="655"/>
      <c r="O178" s="653"/>
      <c r="P178" s="655"/>
      <c r="Q178" s="124"/>
      <c r="R178" s="169" t="s">
        <v>285</v>
      </c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26"/>
      <c r="AH178" s="41"/>
    </row>
    <row r="179" spans="2:34" ht="15" customHeight="1" x14ac:dyDescent="0.2">
      <c r="B179" s="40"/>
      <c r="C179" s="168" t="s">
        <v>268</v>
      </c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47"/>
      <c r="Q179" s="146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47"/>
      <c r="AH179" s="41"/>
    </row>
    <row r="180" spans="2:34" ht="15" customHeight="1" x14ac:dyDescent="0.2">
      <c r="B180" s="40"/>
      <c r="C180" s="40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41"/>
      <c r="Q180" s="40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41"/>
      <c r="AH180" s="41"/>
    </row>
    <row r="181" spans="2:34" ht="15" customHeight="1" x14ac:dyDescent="0.2">
      <c r="B181" s="40"/>
      <c r="C181" s="40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41"/>
      <c r="Q181" s="40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41"/>
      <c r="AH181" s="41"/>
    </row>
    <row r="182" spans="2:34" ht="15" customHeight="1" x14ac:dyDescent="0.2">
      <c r="B182" s="40"/>
      <c r="C182" s="40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41"/>
      <c r="Q182" s="40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41"/>
      <c r="AH182" s="41"/>
    </row>
    <row r="183" spans="2:34" ht="15" customHeight="1" x14ac:dyDescent="0.2">
      <c r="B183" s="40"/>
      <c r="C183" s="40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41"/>
      <c r="Q183" s="40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41"/>
      <c r="AH183" s="41"/>
    </row>
    <row r="184" spans="2:34" ht="15" customHeight="1" x14ac:dyDescent="0.2">
      <c r="B184" s="40"/>
      <c r="C184" s="40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41"/>
      <c r="Q184" s="40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41"/>
      <c r="AH184" s="41"/>
    </row>
    <row r="185" spans="2:34" ht="15" customHeight="1" x14ac:dyDescent="0.2">
      <c r="B185" s="40"/>
      <c r="C185" s="40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41"/>
      <c r="Q185" s="40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41"/>
      <c r="AH185" s="41"/>
    </row>
    <row r="186" spans="2:34" ht="15" customHeight="1" x14ac:dyDescent="0.2">
      <c r="B186" s="40"/>
      <c r="C186" s="124"/>
      <c r="D186" s="166"/>
      <c r="E186" s="166"/>
      <c r="F186" s="166"/>
      <c r="G186" s="169"/>
      <c r="H186" s="166"/>
      <c r="I186" s="166"/>
      <c r="J186" s="166"/>
      <c r="K186" s="166"/>
      <c r="L186" s="166"/>
      <c r="M186" s="166"/>
      <c r="N186" s="166"/>
      <c r="O186" s="166"/>
      <c r="P186" s="126"/>
      <c r="Q186" s="124"/>
      <c r="R186" s="169" t="s">
        <v>269</v>
      </c>
      <c r="S186" s="169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26"/>
      <c r="AH186" s="41"/>
    </row>
    <row r="187" spans="2:34" ht="15" customHeight="1" x14ac:dyDescent="0.2">
      <c r="B187" s="124"/>
      <c r="C187" s="166"/>
      <c r="D187" s="166"/>
      <c r="E187" s="166"/>
      <c r="F187" s="166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26"/>
    </row>
    <row r="188" spans="2:34" ht="15" customHeight="1" x14ac:dyDescent="0.2"/>
    <row r="189" spans="2:34" ht="15" customHeight="1" x14ac:dyDescent="0.2"/>
    <row r="190" spans="2:34" ht="15" customHeight="1" x14ac:dyDescent="0.2"/>
    <row r="191" spans="2:34" ht="15" customHeight="1" x14ac:dyDescent="0.2"/>
    <row r="192" spans="2:34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</sheetData>
  <sheetProtection algorithmName="SHA-512" hashValue="9X4hGUA+mKwdzolt9e6QBWj/PrGzb+X4YjIyqqrLkZf3AWn72oqpCdrSQCouxdVBybH/lO9Us+0ctW2e23Dabw==" saltValue="BaECMQ9i1lrUUwwqWmVPAQ==" spinCount="100000" sheet="1" objects="1" scenarios="1"/>
  <mergeCells count="274">
    <mergeCell ref="Y169:AB169"/>
    <mergeCell ref="C172:G172"/>
    <mergeCell ref="C171:AG171"/>
    <mergeCell ref="O172:P172"/>
    <mergeCell ref="C169:L169"/>
    <mergeCell ref="M169:P169"/>
    <mergeCell ref="C177:G177"/>
    <mergeCell ref="I172:N172"/>
    <mergeCell ref="Y167:AG167"/>
    <mergeCell ref="AC169:AG169"/>
    <mergeCell ref="Q169:X169"/>
    <mergeCell ref="O173:P173"/>
    <mergeCell ref="O174:P174"/>
    <mergeCell ref="O175:P175"/>
    <mergeCell ref="O176:P176"/>
    <mergeCell ref="O177:P177"/>
    <mergeCell ref="C166:L167"/>
    <mergeCell ref="M166:P166"/>
    <mergeCell ref="M167:P167"/>
    <mergeCell ref="V167:X167"/>
    <mergeCell ref="I176:N176"/>
    <mergeCell ref="C176:G176"/>
    <mergeCell ref="I174:N174"/>
    <mergeCell ref="C175:G175"/>
    <mergeCell ref="C173:G173"/>
    <mergeCell ref="I173:N173"/>
    <mergeCell ref="I175:N175"/>
    <mergeCell ref="C174:G174"/>
    <mergeCell ref="O178:P178"/>
    <mergeCell ref="I177:N177"/>
    <mergeCell ref="C178:G178"/>
    <mergeCell ref="I178:N178"/>
    <mergeCell ref="Q166:U166"/>
    <mergeCell ref="Q167:U167"/>
    <mergeCell ref="C163:E163"/>
    <mergeCell ref="F163:K163"/>
    <mergeCell ref="C164:E164"/>
    <mergeCell ref="F164:K164"/>
    <mergeCell ref="L164:P164"/>
    <mergeCell ref="V166:X166"/>
    <mergeCell ref="Y166:AB166"/>
    <mergeCell ref="AC166:AG166"/>
    <mergeCell ref="Q163:U163"/>
    <mergeCell ref="C161:E161"/>
    <mergeCell ref="F161:K161"/>
    <mergeCell ref="L161:P161"/>
    <mergeCell ref="Q164:U164"/>
    <mergeCell ref="L163:P163"/>
    <mergeCell ref="AB161:AG161"/>
    <mergeCell ref="C160:E160"/>
    <mergeCell ref="F160:K160"/>
    <mergeCell ref="V163:AA163"/>
    <mergeCell ref="AB163:AG163"/>
    <mergeCell ref="C162:E162"/>
    <mergeCell ref="F162:K162"/>
    <mergeCell ref="L162:P162"/>
    <mergeCell ref="Q161:U161"/>
    <mergeCell ref="V161:AA161"/>
    <mergeCell ref="L160:P160"/>
    <mergeCell ref="Q160:U160"/>
    <mergeCell ref="V160:AA160"/>
    <mergeCell ref="AB160:AG160"/>
    <mergeCell ref="Q162:U162"/>
    <mergeCell ref="V162:AA162"/>
    <mergeCell ref="AB162:AG162"/>
    <mergeCell ref="V164:AA164"/>
    <mergeCell ref="AB164:AG164"/>
    <mergeCell ref="M156:P156"/>
    <mergeCell ref="Q156:Y156"/>
    <mergeCell ref="M154:P154"/>
    <mergeCell ref="Q154:Y154"/>
    <mergeCell ref="Z154:AG154"/>
    <mergeCell ref="C153:L155"/>
    <mergeCell ref="C158:AG158"/>
    <mergeCell ref="Z155:AG155"/>
    <mergeCell ref="Z156:AG156"/>
    <mergeCell ref="M155:P155"/>
    <mergeCell ref="Q155:Y155"/>
    <mergeCell ref="M153:P153"/>
    <mergeCell ref="Q153:Y153"/>
    <mergeCell ref="Z153:AG153"/>
    <mergeCell ref="C156:L156"/>
    <mergeCell ref="V63:AG63"/>
    <mergeCell ref="C65:AG65"/>
    <mergeCell ref="C68:I68"/>
    <mergeCell ref="Q59:U59"/>
    <mergeCell ref="AA68:AG68"/>
    <mergeCell ref="C144:P144"/>
    <mergeCell ref="C146:P146"/>
    <mergeCell ref="Q146:Y146"/>
    <mergeCell ref="Z146:AG146"/>
    <mergeCell ref="Q144:R144"/>
    <mergeCell ref="Z144:AA144"/>
    <mergeCell ref="S144:Y144"/>
    <mergeCell ref="Q67:AG67"/>
    <mergeCell ref="Q71:V71"/>
    <mergeCell ref="V90:AB94"/>
    <mergeCell ref="G90:J94"/>
    <mergeCell ref="AC87:AG88"/>
    <mergeCell ref="C71:D71"/>
    <mergeCell ref="E71:I71"/>
    <mergeCell ref="C72:D72"/>
    <mergeCell ref="E79:P79"/>
    <mergeCell ref="C143:P143"/>
    <mergeCell ref="C96:Q98"/>
    <mergeCell ref="D142:AF142"/>
    <mergeCell ref="N54:U54"/>
    <mergeCell ref="N69:P69"/>
    <mergeCell ref="C83:D83"/>
    <mergeCell ref="J70:M70"/>
    <mergeCell ref="W81:X82"/>
    <mergeCell ref="C56:C63"/>
    <mergeCell ref="D57:K57"/>
    <mergeCell ref="N63:U63"/>
    <mergeCell ref="V59:AG59"/>
    <mergeCell ref="L57:U57"/>
    <mergeCell ref="I63:M63"/>
    <mergeCell ref="Y61:AC61"/>
    <mergeCell ref="W72:Z74"/>
    <mergeCell ref="J74:P74"/>
    <mergeCell ref="C74:I74"/>
    <mergeCell ref="N70:P70"/>
    <mergeCell ref="AA69:AG69"/>
    <mergeCell ref="AA70:AG70"/>
    <mergeCell ref="W71:Z71"/>
    <mergeCell ref="Q69:Z70"/>
    <mergeCell ref="D59:P59"/>
    <mergeCell ref="Q61:X61"/>
    <mergeCell ref="Q68:Z68"/>
    <mergeCell ref="J68:P68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AF47:AG47"/>
    <mergeCell ref="J43:P43"/>
    <mergeCell ref="V25:Z27"/>
    <mergeCell ref="C22:P23"/>
    <mergeCell ref="L12:Y12"/>
    <mergeCell ref="L15:Y15"/>
    <mergeCell ref="L14:Y14"/>
    <mergeCell ref="Z18:AG19"/>
    <mergeCell ref="C24:P25"/>
    <mergeCell ref="R21:AG21"/>
    <mergeCell ref="AE23:AG24"/>
    <mergeCell ref="D45:H45"/>
    <mergeCell ref="N45:U45"/>
    <mergeCell ref="Q39:AG39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D61:I61"/>
    <mergeCell ref="D52:I52"/>
    <mergeCell ref="V50:AG50"/>
    <mergeCell ref="I45:M45"/>
    <mergeCell ref="L48:U48"/>
    <mergeCell ref="J52:P52"/>
    <mergeCell ref="D50:P50"/>
    <mergeCell ref="C32:AG32"/>
    <mergeCell ref="C34:C45"/>
    <mergeCell ref="D36:K36"/>
    <mergeCell ref="L36:U36"/>
    <mergeCell ref="V36:AG36"/>
    <mergeCell ref="AD43:AG43"/>
    <mergeCell ref="Q41:U41"/>
    <mergeCell ref="V41:AG41"/>
    <mergeCell ref="D41:P41"/>
    <mergeCell ref="Q43:X43"/>
    <mergeCell ref="D39:P39"/>
    <mergeCell ref="AD51:AG51"/>
    <mergeCell ref="Q50:U50"/>
    <mergeCell ref="D43:I43"/>
    <mergeCell ref="V45:AG45"/>
    <mergeCell ref="D48:K48"/>
    <mergeCell ref="Y52:AC52"/>
    <mergeCell ref="J61:P61"/>
    <mergeCell ref="V54:AG54"/>
    <mergeCell ref="D54:H54"/>
    <mergeCell ref="Y43:AC43"/>
    <mergeCell ref="Q79:AG80"/>
    <mergeCell ref="C70:I70"/>
    <mergeCell ref="N90:Q94"/>
    <mergeCell ref="R91:U94"/>
    <mergeCell ref="C85:AG85"/>
    <mergeCell ref="C76:AG76"/>
    <mergeCell ref="AA71:AG71"/>
    <mergeCell ref="J69:M69"/>
    <mergeCell ref="N71:P71"/>
    <mergeCell ref="S81:V82"/>
    <mergeCell ref="AA81:AF82"/>
    <mergeCell ref="E80:P80"/>
    <mergeCell ref="C78:AG78"/>
    <mergeCell ref="E72:I72"/>
    <mergeCell ref="C47:C54"/>
    <mergeCell ref="Q52:X52"/>
    <mergeCell ref="I54:M54"/>
    <mergeCell ref="I83:P83"/>
    <mergeCell ref="E81:P81"/>
    <mergeCell ref="D63:H63"/>
    <mergeCell ref="M151:P151"/>
    <mergeCell ref="AB144:AG144"/>
    <mergeCell ref="C145:P145"/>
    <mergeCell ref="Q95:AG95"/>
    <mergeCell ref="Q145:Y145"/>
    <mergeCell ref="Z145:AG145"/>
    <mergeCell ref="Z125:AG125"/>
    <mergeCell ref="G133:X136"/>
    <mergeCell ref="G129:X131"/>
    <mergeCell ref="AE129:AG130"/>
    <mergeCell ref="AE131:AG136"/>
    <mergeCell ref="C126:X127"/>
    <mergeCell ref="Z126:AG127"/>
    <mergeCell ref="Z129:AC130"/>
    <mergeCell ref="G120:J120"/>
    <mergeCell ref="C149:L151"/>
    <mergeCell ref="Q149:Y149"/>
    <mergeCell ref="Z149:AG149"/>
    <mergeCell ref="Q151:Y151"/>
    <mergeCell ref="Z151:AG151"/>
    <mergeCell ref="M149:P149"/>
    <mergeCell ref="M150:P150"/>
    <mergeCell ref="Q143:Y143"/>
    <mergeCell ref="Z143:AG143"/>
    <mergeCell ref="C147:P147"/>
    <mergeCell ref="Q147:Y147"/>
    <mergeCell ref="Z147:AG147"/>
    <mergeCell ref="Q150:Y150"/>
    <mergeCell ref="Z150:AG150"/>
    <mergeCell ref="V48:AE48"/>
    <mergeCell ref="AF48:AG48"/>
    <mergeCell ref="V57:AE57"/>
    <mergeCell ref="AF57:AG57"/>
    <mergeCell ref="AF56:AG56"/>
    <mergeCell ref="AD60:AG60"/>
    <mergeCell ref="AD61:AF61"/>
    <mergeCell ref="AD52:AF52"/>
    <mergeCell ref="L123:Y123"/>
    <mergeCell ref="L122:Y122"/>
    <mergeCell ref="Z102:AG102"/>
    <mergeCell ref="Z96:AG100"/>
    <mergeCell ref="AC90:AG94"/>
    <mergeCell ref="E82:P82"/>
    <mergeCell ref="G87:J88"/>
    <mergeCell ref="E83:F83"/>
    <mergeCell ref="C99:Q103"/>
    <mergeCell ref="R96:Y97"/>
    <mergeCell ref="Y81:Z82"/>
    <mergeCell ref="C141:AG141"/>
    <mergeCell ref="Z131:AC136"/>
    <mergeCell ref="C90:F94"/>
    <mergeCell ref="D87:F88"/>
    <mergeCell ref="C87:C88"/>
    <mergeCell ref="L120:Y120"/>
    <mergeCell ref="Q72:V74"/>
    <mergeCell ref="Z101:AG101"/>
    <mergeCell ref="K90:M94"/>
    <mergeCell ref="C125:X125"/>
    <mergeCell ref="C133:F136"/>
    <mergeCell ref="C129:F131"/>
    <mergeCell ref="K87:AB88"/>
    <mergeCell ref="C139:AG139"/>
  </mergeCells>
  <phoneticPr fontId="24" type="noConversion"/>
  <conditionalFormatting sqref="D39:P39 D48:K48">
    <cfRule type="expression" dxfId="31" priority="4" stopIfTrue="1">
      <formula>Blanco=TRUE</formula>
    </cfRule>
    <cfRule type="expression" dxfId="30" priority="5" stopIfTrue="1">
      <formula>$D39=""</formula>
    </cfRule>
  </conditionalFormatting>
  <conditionalFormatting sqref="AC72:AG73 AB73">
    <cfRule type="expression" dxfId="29" priority="6" stopIfTrue="1">
      <formula>Trofeo10=TRUE</formula>
    </cfRule>
  </conditionalFormatting>
  <conditionalFormatting sqref="D59:AG59 I54:AG54 J68 H67:I67 H69:I69 Q39:AG39 AC90:AG94 I83:P83 Q81:R83 E83:F83 S83:AF83 D45:AG45 C74:C75 E79:P82 Q68 D50:AG50 I63:AG63 AD52 D52:P52 D36:AG36 D61:P61 D41:AG41 H73:I73 O73 D43:P43 AG52">
    <cfRule type="expression" dxfId="28" priority="7" stopIfTrue="1">
      <formula>Blanco=TRUE</formula>
    </cfRule>
  </conditionalFormatting>
  <conditionalFormatting sqref="AE25:AG30 AA25 AE131:AG136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81:AF82 G90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72:Z74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9:Z70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90:F94">
    <cfRule type="expression" dxfId="19" priority="17" stopIfTrue="1">
      <formula>Blanco=TRUE</formula>
    </cfRule>
  </conditionalFormatting>
  <conditionalFormatting sqref="C72 J74:P74 Q43 Y43:AC43 E72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43:AG43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8:V48 Q52:AC52 D54:H54 D57:V57 D63:H63 Q61:AC61 AF48 AF57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8:I68 C70:I70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72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70:P70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70:AG70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61">
    <cfRule type="expression" dxfId="1" priority="2" stopIfTrue="1">
      <formula>Blanco=TRUE</formula>
    </cfRule>
  </conditionalFormatting>
  <conditionalFormatting sqref="AD61">
    <cfRule type="expression" dxfId="0" priority="1" stopIfTrue="1">
      <formula>Blanco=TRUE</formula>
    </cfRule>
  </conditionalFormatting>
  <dataValidations xWindow="445" yWindow="489" count="23">
    <dataValidation type="whole" allowBlank="1" showInputMessage="1" showErrorMessage="1" errorTitle="Cilindrada" error="Teclee un valor numérico comprendido entre 1 y 2000" sqref="C74:I74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81 S83:V83">
      <formula1>4</formula1>
    </dataValidation>
    <dataValidation type="textLength" operator="equal" allowBlank="1" showInputMessage="1" showErrorMessage="1" errorTitle="Código de Oficina" error="El Código de Oficina debe tener 4 caracteres" sqref="W81 W83:X83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81 Y83:Z83">
      <formula1>2</formula1>
    </dataValidation>
    <dataValidation type="textLength" operator="equal" allowBlank="1" showInputMessage="1" showErrorMessage="1" errorTitle="Número de cuenta" error="El número de cuenta debe tener 10 caracteres" sqref="AA81 AA83:AF83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31:AG136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31:AD136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72">
      <formula1>1</formula1>
      <formula2>5000</formula2>
    </dataValidation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2010, SNELL M 2005, SNELL M 2000_x000a_" sqref="Q149:Y149"/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9:AG149"/>
    <dataValidation allowBlank="1" showInputMessage="1" showErrorMessage="1" promptTitle="Normas en Vigor Hans" prompt="* Normas Admitidas_x000a_FIA 8858-2002 _x000a_FIA 8858-2010" sqref="Q153:AG153"/>
    <dataValidation allowBlank="1" showInputMessage="1" showErrorMessage="1" promptTitle="Normas en Vigor Tirante Hans" prompt="* Normas Admitidas_x000a_FIA 8858-2002 _x000a_FIA 8858-2010" sqref="Q156:AG156"/>
    <dataValidation allowBlank="1" showInputMessage="1" showErrorMessage="1" promptTitle="Ejemplo Homologacion" prompt="MIRAR EN LA ETIQUETA_x000a_EJEMPLO FIA D-107 T/98" sqref="F161:K161"/>
    <dataValidation allowBlank="1" showInputMessage="1" showErrorMessage="1" promptTitle="EJEMPLO NORMA CINTURON" prompt="MIRAR EN LA ETIQUETA_x000a_EJEMPLO FIA D-107 T/98" sqref="L161:P161"/>
    <dataValidation allowBlank="1" showInputMessage="1" showErrorMessage="1" promptTitle="MIRAR ETIQUETA ASIENTO" prompt="EJEMPLO_x000a_CS 197 07" sqref="V161:AG161"/>
    <dataValidation allowBlank="1" showInputMessage="1" showErrorMessage="1" promptTitle="MIRAR EN LA ETIQUETA" prompt="EJEMPLO_x000a_FIA 8855-1999" sqref="V162:AG162"/>
    <dataValidation allowBlank="1" showInputMessage="1" showErrorMessage="1" promptTitle="MIRAR EN LA ETIQUETA" prompt="MIRAR EN LA ETIQUETA_x000a_EJEMPLO FIA 8853/98" sqref="F162:P162"/>
    <dataValidation allowBlank="1" showInputMessage="1" showErrorMessage="1" promptTitle="MIRAR EN LA ETIQUETA" prompt="EJEMPLO_x000a_EXT.001.97" sqref="V166:X166"/>
    <dataValidation allowBlank="1" showInputMessage="1" showErrorMessage="1" promptTitle="MIRAR ETIQUETA" prompt="EJEMPLO_x000a_FT3-1999" sqref="Q169:X169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72:I72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8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67</xdr:row>
                    <xdr:rowOff>28575</xdr:rowOff>
                  </from>
                  <to>
                    <xdr:col>32</xdr:col>
                    <xdr:colOff>142875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71</xdr:row>
                    <xdr:rowOff>0</xdr:rowOff>
                  </from>
                  <to>
                    <xdr:col>11</xdr:col>
                    <xdr:colOff>180975</xdr:colOff>
                    <xdr:row>71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71</xdr:row>
                    <xdr:rowOff>0</xdr:rowOff>
                  </from>
                  <to>
                    <xdr:col>12</xdr:col>
                    <xdr:colOff>161925</xdr:colOff>
                    <xdr:row>71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71</xdr:row>
                    <xdr:rowOff>0</xdr:rowOff>
                  </from>
                  <to>
                    <xdr:col>27</xdr:col>
                    <xdr:colOff>104775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143</xdr:row>
                    <xdr:rowOff>161925</xdr:rowOff>
                  </from>
                  <to>
                    <xdr:col>28</xdr:col>
                    <xdr:colOff>104775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143</xdr:row>
                    <xdr:rowOff>180975</xdr:rowOff>
                  </from>
                  <to>
                    <xdr:col>31</xdr:col>
                    <xdr:colOff>142875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144</xdr:row>
                    <xdr:rowOff>0</xdr:rowOff>
                  </from>
                  <to>
                    <xdr:col>23</xdr:col>
                    <xdr:colOff>123825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143</xdr:row>
                    <xdr:rowOff>180975</xdr:rowOff>
                  </from>
                  <to>
                    <xdr:col>21</xdr:col>
                    <xdr:colOff>28575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145</xdr:row>
                    <xdr:rowOff>0</xdr:rowOff>
                  </from>
                  <to>
                    <xdr:col>23</xdr:col>
                    <xdr:colOff>123825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144</xdr:row>
                    <xdr:rowOff>180975</xdr:rowOff>
                  </from>
                  <to>
                    <xdr:col>21</xdr:col>
                    <xdr:colOff>28575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146</xdr:row>
                    <xdr:rowOff>0</xdr:rowOff>
                  </from>
                  <to>
                    <xdr:col>23</xdr:col>
                    <xdr:colOff>123825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145</xdr:row>
                    <xdr:rowOff>180975</xdr:rowOff>
                  </from>
                  <to>
                    <xdr:col>21</xdr:col>
                    <xdr:colOff>28575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144</xdr:row>
                    <xdr:rowOff>161925</xdr:rowOff>
                  </from>
                  <to>
                    <xdr:col>28</xdr:col>
                    <xdr:colOff>104775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144</xdr:row>
                    <xdr:rowOff>180975</xdr:rowOff>
                  </from>
                  <to>
                    <xdr:col>31</xdr:col>
                    <xdr:colOff>142875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145</xdr:row>
                    <xdr:rowOff>161925</xdr:rowOff>
                  </from>
                  <to>
                    <xdr:col>28</xdr:col>
                    <xdr:colOff>104775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145</xdr:row>
                    <xdr:rowOff>180975</xdr:rowOff>
                  </from>
                  <to>
                    <xdr:col>31</xdr:col>
                    <xdr:colOff>142875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88</xdr:row>
                    <xdr:rowOff>0</xdr:rowOff>
                  </from>
                  <to>
                    <xdr:col>32</xdr:col>
                    <xdr:colOff>47625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3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90</xdr:row>
                    <xdr:rowOff>47625</xdr:rowOff>
                  </from>
                  <to>
                    <xdr:col>31</xdr:col>
                    <xdr:colOff>95250</xdr:colOff>
                    <xdr:row>91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4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92</xdr:row>
                    <xdr:rowOff>19050</xdr:rowOff>
                  </from>
                  <to>
                    <xdr:col>31</xdr:col>
                    <xdr:colOff>228600</xdr:colOff>
                    <xdr:row>92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K24" sqref="K24"/>
    </sheetView>
  </sheetViews>
  <sheetFormatPr baseColWidth="10" defaultColWidth="31.42578125" defaultRowHeight="12.75" x14ac:dyDescent="0.2"/>
  <cols>
    <col min="1" max="1" width="2.140625" bestFit="1" customWidth="1"/>
    <col min="2" max="2" width="24.42578125" bestFit="1" customWidth="1"/>
    <col min="3" max="3" width="16.28515625" bestFit="1" customWidth="1"/>
    <col min="4" max="4" width="33.42578125" bestFit="1" customWidth="1"/>
    <col min="5" max="5" width="33.42578125" customWidth="1"/>
    <col min="6" max="6" width="10.28515625" bestFit="1" customWidth="1"/>
    <col min="7" max="7" width="7.85546875" bestFit="1" customWidth="1"/>
    <col min="8" max="8" width="5.28515625" bestFit="1" customWidth="1"/>
    <col min="9" max="9" width="5.42578125" bestFit="1" customWidth="1"/>
    <col min="10" max="10" width="11.7109375" bestFit="1" customWidth="1"/>
    <col min="11" max="11" width="11.85546875" bestFit="1" customWidth="1"/>
    <col min="12" max="12" width="17" customWidth="1"/>
    <col min="13" max="13" width="5.85546875" customWidth="1"/>
    <col min="14" max="14" width="11.7109375" customWidth="1"/>
    <col min="15" max="15" width="8" bestFit="1" customWidth="1"/>
    <col min="16" max="24" width="11.85546875" customWidth="1"/>
  </cols>
  <sheetData>
    <row r="1" spans="1:24" ht="35.25" customHeight="1" x14ac:dyDescent="0.2">
      <c r="A1" s="670" t="s">
        <v>330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</row>
    <row r="2" spans="1:24" s="247" customFormat="1" ht="26.25" customHeight="1" x14ac:dyDescent="0.2">
      <c r="A2" s="244" t="s">
        <v>26</v>
      </c>
      <c r="B2" s="244" t="s">
        <v>331</v>
      </c>
      <c r="C2" s="244" t="s">
        <v>332</v>
      </c>
      <c r="D2" s="244" t="s">
        <v>189</v>
      </c>
      <c r="E2" s="244" t="s">
        <v>351</v>
      </c>
      <c r="F2" s="244" t="s">
        <v>333</v>
      </c>
      <c r="G2" s="244" t="s">
        <v>334</v>
      </c>
      <c r="H2" s="244" t="s">
        <v>335</v>
      </c>
      <c r="I2" s="244" t="s">
        <v>329</v>
      </c>
      <c r="J2" s="244" t="s">
        <v>336</v>
      </c>
      <c r="K2" s="245" t="s">
        <v>337</v>
      </c>
      <c r="L2" s="244" t="s">
        <v>338</v>
      </c>
      <c r="M2" s="244" t="s">
        <v>339</v>
      </c>
      <c r="N2" s="244" t="s">
        <v>350</v>
      </c>
      <c r="O2" s="244" t="s">
        <v>340</v>
      </c>
      <c r="P2" s="244" t="s">
        <v>341</v>
      </c>
      <c r="Q2" s="244" t="s">
        <v>342</v>
      </c>
      <c r="R2" s="244" t="s">
        <v>343</v>
      </c>
      <c r="S2" s="244" t="s">
        <v>344</v>
      </c>
      <c r="T2" s="246" t="s">
        <v>345</v>
      </c>
      <c r="U2" s="246" t="s">
        <v>346</v>
      </c>
      <c r="V2" s="246" t="s">
        <v>347</v>
      </c>
      <c r="W2" s="246" t="s">
        <v>348</v>
      </c>
      <c r="X2" s="244" t="s">
        <v>349</v>
      </c>
    </row>
    <row r="3" spans="1:24" x14ac:dyDescent="0.2">
      <c r="B3">
        <f>' Boletín de Inscripción '!D39</f>
        <v>0</v>
      </c>
      <c r="C3" t="str">
        <f>CONCATENATE(' Boletín de Inscripción '!Y43," ",' Boletín de Inscripción '!AD43)</f>
        <v xml:space="preserve"> </v>
      </c>
      <c r="D3" t="str">
        <f>CONCATENATE(' Boletín de Inscripción '!D48," ",' Boletín de Inscripción '!L48," ",' Boletín de Inscripción '!V48)</f>
        <v xml:space="preserve">  </v>
      </c>
      <c r="E3">
        <f>' Boletín de Inscripción '!V54</f>
        <v>0</v>
      </c>
      <c r="F3">
        <f>' Boletín de Inscripción '!Q52</f>
        <v>0</v>
      </c>
      <c r="G3" s="248">
        <f>' Boletín de Inscripción '!AD52</f>
        <v>0</v>
      </c>
      <c r="H3" t="str">
        <f>' Boletín de Inscripción '!AG52</f>
        <v/>
      </c>
      <c r="I3">
        <f>' Boletín de Inscripción '!AF48</f>
        <v>0</v>
      </c>
      <c r="J3">
        <f>' Boletín de Inscripción '!Y52</f>
        <v>0</v>
      </c>
      <c r="K3">
        <f>' Boletín de Inscripción '!D54</f>
        <v>0</v>
      </c>
      <c r="L3" t="str">
        <f>CONCATENATE(' Boletín de Inscripción '!C68," ",' Boletín de Inscripción '!C70)</f>
        <v xml:space="preserve"> </v>
      </c>
      <c r="M3">
        <f>CILINDRADA</f>
        <v>0</v>
      </c>
      <c r="N3">
        <f>cc</f>
        <v>0</v>
      </c>
      <c r="O3">
        <f>' Boletín de Inscripción '!E72</f>
        <v>0</v>
      </c>
      <c r="P3" t="str">
        <f>' Boletín de Inscripción '!Q69</f>
        <v/>
      </c>
      <c r="Q3" t="str">
        <f>' Boletín de Inscripción '!Q72</f>
        <v/>
      </c>
      <c r="R3" t="str">
        <f>' Boletín de Inscripción '!W72</f>
        <v/>
      </c>
      <c r="S3">
        <f>' Boletín de Inscripción '!AA70</f>
        <v>0</v>
      </c>
      <c r="T3">
        <f>' Boletín de Inscripción '!J74</f>
        <v>0</v>
      </c>
      <c r="U3" t="b">
        <f>' Boletín de Inscripción '!$AG$119</f>
        <v>1</v>
      </c>
      <c r="V3" t="b">
        <v>1</v>
      </c>
      <c r="W3" t="b">
        <v>1</v>
      </c>
    </row>
  </sheetData>
  <mergeCells count="1">
    <mergeCell ref="A1:X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K3"/>
  <sheetViews>
    <sheetView showRowColHeaders="0" topLeftCell="BA1" workbookViewId="0">
      <selection activeCell="BU2" sqref="BU2"/>
    </sheetView>
  </sheetViews>
  <sheetFormatPr baseColWidth="10" defaultColWidth="11.42578125" defaultRowHeight="11.25" x14ac:dyDescent="0.2"/>
  <cols>
    <col min="1" max="1" width="11.7109375" style="83" bestFit="1" customWidth="1"/>
    <col min="2" max="2" width="10.42578125" style="83" bestFit="1" customWidth="1"/>
    <col min="3" max="3" width="10.7109375" style="83" bestFit="1" customWidth="1"/>
    <col min="4" max="4" width="15.28515625" style="83" bestFit="1" customWidth="1"/>
    <col min="5" max="5" width="19.85546875" style="83" bestFit="1" customWidth="1"/>
    <col min="6" max="6" width="21.85546875" style="83" bestFit="1" customWidth="1"/>
    <col min="7" max="7" width="27.42578125" style="83" bestFit="1" customWidth="1"/>
    <col min="8" max="8" width="18.85546875" style="83" bestFit="1" customWidth="1"/>
    <col min="9" max="9" width="15.42578125" style="83" bestFit="1" customWidth="1"/>
    <col min="10" max="10" width="14" style="83" bestFit="1" customWidth="1"/>
    <col min="11" max="11" width="21.85546875" style="83" bestFit="1" customWidth="1"/>
    <col min="12" max="12" width="18.85546875" style="83" customWidth="1"/>
    <col min="13" max="13" width="16.7109375" style="83" bestFit="1" customWidth="1"/>
    <col min="14" max="14" width="16.42578125" style="83" bestFit="1" customWidth="1"/>
    <col min="15" max="16" width="17" style="83" bestFit="1" customWidth="1"/>
    <col min="17" max="17" width="12.42578125" style="83" bestFit="1" customWidth="1"/>
    <col min="18" max="18" width="13.42578125" style="83" bestFit="1" customWidth="1"/>
    <col min="19" max="19" width="10" style="83" bestFit="1" customWidth="1"/>
    <col min="20" max="20" width="14.42578125" style="83" bestFit="1" customWidth="1"/>
    <col min="21" max="21" width="16.42578125" style="83" bestFit="1" customWidth="1"/>
    <col min="22" max="22" width="23.7109375" style="83" customWidth="1"/>
    <col min="23" max="23" width="13.42578125" style="83" bestFit="1" customWidth="1"/>
    <col min="24" max="24" width="10.42578125" style="83" bestFit="1" customWidth="1"/>
    <col min="25" max="25" width="8.7109375" style="83" bestFit="1" customWidth="1"/>
    <col min="26" max="26" width="16.28515625" style="83" customWidth="1"/>
    <col min="27" max="27" width="13.42578125" style="83" bestFit="1" customWidth="1"/>
    <col min="28" max="28" width="11.28515625" style="83" bestFit="1" customWidth="1"/>
    <col min="29" max="29" width="14.140625" style="83" bestFit="1" customWidth="1"/>
    <col min="30" max="31" width="11.42578125" style="83" bestFit="1" customWidth="1"/>
    <col min="32" max="32" width="7.28515625" style="83" bestFit="1" customWidth="1"/>
    <col min="33" max="33" width="8.140625" style="83" bestFit="1" customWidth="1"/>
    <col min="34" max="34" width="11.85546875" style="83" bestFit="1" customWidth="1"/>
    <col min="35" max="35" width="18" style="83" bestFit="1" customWidth="1"/>
    <col min="36" max="36" width="18.28515625" style="83" bestFit="1" customWidth="1"/>
    <col min="37" max="37" width="29.140625" style="83" bestFit="1" customWidth="1"/>
    <col min="38" max="38" width="15.28515625" style="83" bestFit="1" customWidth="1"/>
    <col min="39" max="39" width="12.28515625" style="83" bestFit="1" customWidth="1"/>
    <col min="40" max="40" width="10.42578125" style="83" bestFit="1" customWidth="1"/>
    <col min="41" max="41" width="13" style="83" bestFit="1" customWidth="1"/>
    <col min="42" max="42" width="15.42578125" style="83" bestFit="1" customWidth="1"/>
    <col min="43" max="43" width="13.140625" style="83" bestFit="1" customWidth="1"/>
    <col min="44" max="44" width="16.42578125" style="83" bestFit="1" customWidth="1"/>
    <col min="45" max="46" width="13.42578125" style="83" bestFit="1" customWidth="1"/>
    <col min="47" max="47" width="9.140625" style="83" bestFit="1" customWidth="1"/>
    <col min="48" max="48" width="10" style="83" bestFit="1" customWidth="1"/>
    <col min="49" max="49" width="9.140625" style="83" bestFit="1" customWidth="1"/>
    <col min="50" max="50" width="11.7109375" style="83" bestFit="1" customWidth="1"/>
    <col min="51" max="51" width="10.28515625" style="83" customWidth="1"/>
    <col min="52" max="52" width="7.85546875" style="83" bestFit="1" customWidth="1"/>
    <col min="53" max="53" width="14.28515625" style="83" bestFit="1" customWidth="1"/>
    <col min="54" max="54" width="5.42578125" style="83" bestFit="1" customWidth="1"/>
    <col min="55" max="55" width="5.140625" style="83" bestFit="1" customWidth="1"/>
    <col min="56" max="56" width="12" style="83" bestFit="1" customWidth="1"/>
    <col min="57" max="62" width="7.42578125" style="83" bestFit="1" customWidth="1"/>
    <col min="63" max="65" width="7.28515625" style="83" bestFit="1" customWidth="1"/>
    <col min="66" max="66" width="7.85546875" style="83" bestFit="1" customWidth="1"/>
    <col min="67" max="67" width="9.28515625" style="83" bestFit="1" customWidth="1"/>
    <col min="68" max="68" width="8.85546875" style="83" bestFit="1" customWidth="1"/>
    <col min="69" max="69" width="5.28515625" style="83" bestFit="1" customWidth="1"/>
    <col min="70" max="70" width="11.28515625" style="83" bestFit="1" customWidth="1"/>
    <col min="71" max="71" width="17" style="83" bestFit="1" customWidth="1"/>
    <col min="72" max="72" width="6.42578125" style="83" bestFit="1" customWidth="1"/>
    <col min="73" max="73" width="6" style="83" bestFit="1" customWidth="1"/>
    <col min="74" max="74" width="6.42578125" style="83" bestFit="1" customWidth="1"/>
    <col min="75" max="75" width="6.140625" style="83" bestFit="1" customWidth="1"/>
    <col min="76" max="76" width="6.7109375" style="83" bestFit="1" customWidth="1"/>
    <col min="77" max="77" width="6.140625" style="83" bestFit="1" customWidth="1"/>
    <col min="78" max="78" width="9.7109375" style="83" bestFit="1" customWidth="1"/>
    <col min="79" max="79" width="12.85546875" style="83" bestFit="1" customWidth="1"/>
    <col min="80" max="80" width="14.7109375" style="83" bestFit="1" customWidth="1"/>
    <col min="81" max="81" width="7.42578125" style="83" bestFit="1" customWidth="1"/>
    <col min="82" max="82" width="9.42578125" style="83" bestFit="1" customWidth="1"/>
    <col min="83" max="83" width="9.7109375" style="83" bestFit="1" customWidth="1"/>
    <col min="84" max="84" width="12.85546875" style="83" bestFit="1" customWidth="1"/>
    <col min="85" max="85" width="14.7109375" style="83" bestFit="1" customWidth="1"/>
    <col min="86" max="86" width="7.42578125" style="83" bestFit="1" customWidth="1"/>
    <col min="87" max="87" width="9.42578125" style="83" bestFit="1" customWidth="1"/>
    <col min="88" max="88" width="9.7109375" style="83" bestFit="1" customWidth="1"/>
    <col min="89" max="89" width="12.85546875" style="83" bestFit="1" customWidth="1"/>
    <col min="90" max="90" width="14.7109375" style="83" bestFit="1" customWidth="1"/>
    <col min="91" max="91" width="7.42578125" style="83" bestFit="1" customWidth="1"/>
    <col min="92" max="92" width="9.42578125" style="83" bestFit="1" customWidth="1"/>
    <col min="93" max="93" width="9.7109375" style="83" bestFit="1" customWidth="1"/>
    <col min="94" max="94" width="12.85546875" style="83" bestFit="1" customWidth="1"/>
    <col min="95" max="95" width="14.7109375" style="83" bestFit="1" customWidth="1"/>
    <col min="96" max="96" width="7.42578125" style="83" bestFit="1" customWidth="1"/>
    <col min="97" max="97" width="9.42578125" style="83" bestFit="1" customWidth="1"/>
    <col min="98" max="98" width="9.7109375" style="83" bestFit="1" customWidth="1"/>
    <col min="99" max="99" width="12.85546875" style="83" bestFit="1" customWidth="1"/>
    <col min="100" max="100" width="14.7109375" style="83" bestFit="1" customWidth="1"/>
    <col min="101" max="101" width="7.42578125" style="83" bestFit="1" customWidth="1"/>
    <col min="102" max="102" width="9.42578125" style="83" bestFit="1" customWidth="1"/>
    <col min="103" max="103" width="9.7109375" style="83" bestFit="1" customWidth="1"/>
    <col min="104" max="104" width="12.85546875" style="83" bestFit="1" customWidth="1"/>
    <col min="105" max="105" width="14.7109375" style="83" bestFit="1" customWidth="1"/>
    <col min="106" max="106" width="7.42578125" style="83" bestFit="1" customWidth="1"/>
    <col min="107" max="107" width="9.42578125" style="83" bestFit="1" customWidth="1"/>
    <col min="108" max="108" width="9.7109375" style="83" bestFit="1" customWidth="1"/>
    <col min="109" max="109" width="12.85546875" style="83" bestFit="1" customWidth="1"/>
    <col min="110" max="110" width="14.7109375" style="83" bestFit="1" customWidth="1"/>
    <col min="111" max="111" width="7.42578125" style="83" bestFit="1" customWidth="1"/>
    <col min="112" max="112" width="9.42578125" style="83" bestFit="1" customWidth="1"/>
    <col min="113" max="113" width="9.7109375" style="83" bestFit="1" customWidth="1"/>
    <col min="114" max="114" width="12.85546875" style="83" bestFit="1" customWidth="1"/>
    <col min="115" max="115" width="14.7109375" style="83" bestFit="1" customWidth="1"/>
    <col min="116" max="16384" width="11.42578125" style="83"/>
  </cols>
  <sheetData>
    <row r="1" spans="1:115" x14ac:dyDescent="0.2">
      <c r="A1" s="83" t="s">
        <v>59</v>
      </c>
      <c r="B1" s="83" t="s">
        <v>60</v>
      </c>
      <c r="C1" s="83" t="s">
        <v>61</v>
      </c>
      <c r="D1" s="83" t="s">
        <v>62</v>
      </c>
      <c r="E1" s="83" t="s">
        <v>63</v>
      </c>
      <c r="F1" s="83" t="s">
        <v>64</v>
      </c>
      <c r="G1" s="83" t="s">
        <v>65</v>
      </c>
      <c r="H1" s="83" t="s">
        <v>66</v>
      </c>
      <c r="I1" s="83" t="s">
        <v>67</v>
      </c>
      <c r="J1" s="83" t="s">
        <v>68</v>
      </c>
      <c r="K1" s="83" t="s">
        <v>69</v>
      </c>
      <c r="L1" s="83" t="s">
        <v>70</v>
      </c>
      <c r="M1" s="83" t="s">
        <v>71</v>
      </c>
      <c r="N1" s="83" t="s">
        <v>72</v>
      </c>
      <c r="O1" s="83" t="s">
        <v>73</v>
      </c>
      <c r="P1" s="83" t="s">
        <v>74</v>
      </c>
      <c r="Q1" s="83" t="s">
        <v>75</v>
      </c>
      <c r="R1" s="83" t="s">
        <v>76</v>
      </c>
      <c r="S1" s="83" t="s">
        <v>77</v>
      </c>
      <c r="T1" s="83" t="s">
        <v>78</v>
      </c>
      <c r="U1" s="83" t="s">
        <v>79</v>
      </c>
      <c r="V1" s="83" t="s">
        <v>80</v>
      </c>
      <c r="W1" s="83" t="s">
        <v>81</v>
      </c>
      <c r="X1" s="83" t="s">
        <v>84</v>
      </c>
      <c r="Y1" s="83" t="s">
        <v>85</v>
      </c>
      <c r="Z1" s="83" t="s">
        <v>86</v>
      </c>
      <c r="AA1" s="83" t="s">
        <v>87</v>
      </c>
      <c r="AB1" s="83" t="s">
        <v>82</v>
      </c>
      <c r="AC1" s="83" t="s">
        <v>83</v>
      </c>
      <c r="AD1" s="83" t="s">
        <v>88</v>
      </c>
      <c r="AE1" s="83" t="s">
        <v>89</v>
      </c>
      <c r="AF1" s="83" t="s">
        <v>90</v>
      </c>
      <c r="AG1" s="83" t="s">
        <v>91</v>
      </c>
      <c r="AH1" s="83" t="s">
        <v>92</v>
      </c>
      <c r="AI1" s="83" t="s">
        <v>93</v>
      </c>
      <c r="AJ1" s="83" t="s">
        <v>94</v>
      </c>
      <c r="AK1" s="83" t="s">
        <v>95</v>
      </c>
      <c r="AL1" s="83" t="s">
        <v>96</v>
      </c>
      <c r="AM1" s="83" t="s">
        <v>97</v>
      </c>
      <c r="AN1" s="83" t="s">
        <v>98</v>
      </c>
      <c r="AO1" s="83" t="s">
        <v>99</v>
      </c>
      <c r="AP1" s="83" t="s">
        <v>100</v>
      </c>
      <c r="AQ1" s="83" t="s">
        <v>101</v>
      </c>
      <c r="AR1" s="83" t="s">
        <v>102</v>
      </c>
      <c r="AS1" s="83" t="s">
        <v>103</v>
      </c>
      <c r="AT1" s="83" t="s">
        <v>104</v>
      </c>
      <c r="AU1" s="83" t="s">
        <v>105</v>
      </c>
      <c r="AV1" s="83" t="s">
        <v>106</v>
      </c>
      <c r="AW1" s="83" t="s">
        <v>107</v>
      </c>
      <c r="AX1" s="83" t="s">
        <v>108</v>
      </c>
      <c r="AY1" s="83" t="s">
        <v>109</v>
      </c>
      <c r="AZ1" s="83" t="s">
        <v>110</v>
      </c>
      <c r="BA1" s="83" t="s">
        <v>111</v>
      </c>
      <c r="BB1" s="83" t="s">
        <v>14</v>
      </c>
      <c r="BC1" s="83" t="s">
        <v>15</v>
      </c>
      <c r="BD1" s="83" t="s">
        <v>283</v>
      </c>
      <c r="BE1" s="83" t="s">
        <v>112</v>
      </c>
      <c r="BF1" s="83" t="s">
        <v>113</v>
      </c>
      <c r="BG1" s="83" t="s">
        <v>114</v>
      </c>
      <c r="BH1" s="83" t="s">
        <v>115</v>
      </c>
      <c r="BI1" s="83" t="s">
        <v>116</v>
      </c>
      <c r="BJ1" s="83" t="s">
        <v>117</v>
      </c>
      <c r="BK1" s="83" t="s">
        <v>118</v>
      </c>
      <c r="BL1" s="83" t="s">
        <v>119</v>
      </c>
      <c r="BM1" s="83" t="s">
        <v>120</v>
      </c>
      <c r="BN1" s="83" t="s">
        <v>41</v>
      </c>
      <c r="BO1" s="83" t="s">
        <v>37</v>
      </c>
      <c r="BP1" s="83" t="s">
        <v>121</v>
      </c>
      <c r="BQ1" s="83" t="s">
        <v>122</v>
      </c>
      <c r="BR1" s="83" t="s">
        <v>123</v>
      </c>
      <c r="BS1" s="83" t="s">
        <v>124</v>
      </c>
      <c r="BT1" s="83" t="s">
        <v>125</v>
      </c>
      <c r="BU1" s="83" t="s">
        <v>126</v>
      </c>
      <c r="BV1" s="83" t="s">
        <v>127</v>
      </c>
      <c r="BW1" s="83" t="s">
        <v>128</v>
      </c>
      <c r="BX1" s="83" t="s">
        <v>38</v>
      </c>
      <c r="BY1" s="83" t="s">
        <v>39</v>
      </c>
      <c r="BZ1" s="83" t="s">
        <v>131</v>
      </c>
      <c r="CA1" s="83" t="s">
        <v>132</v>
      </c>
      <c r="CB1" s="83" t="s">
        <v>133</v>
      </c>
      <c r="CC1" s="83" t="s">
        <v>134</v>
      </c>
      <c r="CD1" s="83" t="s">
        <v>135</v>
      </c>
      <c r="CE1" s="83" t="s">
        <v>136</v>
      </c>
      <c r="CF1" s="83" t="s">
        <v>137</v>
      </c>
      <c r="CG1" s="83" t="s">
        <v>138</v>
      </c>
      <c r="CH1" s="83" t="s">
        <v>139</v>
      </c>
      <c r="CI1" s="83" t="s">
        <v>140</v>
      </c>
      <c r="CJ1" s="83" t="s">
        <v>141</v>
      </c>
      <c r="CK1" s="83" t="s">
        <v>142</v>
      </c>
      <c r="CL1" s="83" t="s">
        <v>143</v>
      </c>
      <c r="CM1" s="83" t="s">
        <v>144</v>
      </c>
      <c r="CN1" s="83" t="s">
        <v>145</v>
      </c>
      <c r="CO1" s="83" t="s">
        <v>146</v>
      </c>
      <c r="CP1" s="83" t="s">
        <v>147</v>
      </c>
      <c r="CQ1" s="83" t="s">
        <v>148</v>
      </c>
      <c r="CR1" s="83" t="s">
        <v>149</v>
      </c>
      <c r="CS1" s="83" t="s">
        <v>150</v>
      </c>
      <c r="CT1" s="83" t="s">
        <v>151</v>
      </c>
      <c r="CU1" s="83" t="s">
        <v>152</v>
      </c>
      <c r="CV1" s="83" t="s">
        <v>153</v>
      </c>
      <c r="CW1" s="83" t="s">
        <v>154</v>
      </c>
      <c r="CX1" s="83" t="s">
        <v>155</v>
      </c>
      <c r="CY1" s="83" t="s">
        <v>156</v>
      </c>
      <c r="CZ1" s="83" t="s">
        <v>157</v>
      </c>
      <c r="DA1" s="83" t="s">
        <v>158</v>
      </c>
      <c r="DB1" s="83" t="s">
        <v>159</v>
      </c>
      <c r="DC1" s="83" t="s">
        <v>160</v>
      </c>
      <c r="DD1" s="83" t="s">
        <v>161</v>
      </c>
      <c r="DE1" s="83" t="s">
        <v>162</v>
      </c>
      <c r="DF1" s="83" t="s">
        <v>163</v>
      </c>
      <c r="DG1" s="83" t="s">
        <v>164</v>
      </c>
      <c r="DH1" s="83" t="s">
        <v>165</v>
      </c>
      <c r="DI1" s="83" t="s">
        <v>166</v>
      </c>
      <c r="DJ1" s="83" t="s">
        <v>167</v>
      </c>
      <c r="DK1" s="83" t="s">
        <v>168</v>
      </c>
    </row>
    <row r="2" spans="1:115" s="136" customFormat="1" x14ac:dyDescent="0.2">
      <c r="A2" s="136">
        <f>VALUE(' Boletín de Inscripción '!AA25)</f>
        <v>0</v>
      </c>
      <c r="B2" s="136">
        <f>VALUE(' Boletín de Inscripción '!AE25)</f>
        <v>0</v>
      </c>
      <c r="C2" s="136">
        <f>B2</f>
        <v>0</v>
      </c>
      <c r="D2" s="136" t="str">
        <f>IF(' Boletín de Inscripción '!D39="","",IF(LEN(' Boletín de Inscripción '!D39)&gt;50,PROPER(LEFT(' Boletín de Inscripción '!D39,50)),PROPER(' Boletín de Inscripción '!D39)))</f>
        <v/>
      </c>
      <c r="G2" s="136" t="str">
        <f>D2&amp;" "&amp;E2&amp;" "&amp;F2</f>
        <v xml:space="preserve">  </v>
      </c>
      <c r="H2" s="136" t="str">
        <f>IF(' Boletín de Inscripción '!J43="","",UPPER(LEFT(' Boletín de Inscripción '!J43,1)))</f>
        <v/>
      </c>
      <c r="I2" s="136" t="str">
        <f>IF(' Boletín de Inscripción '!Y43="","",IF(LEN(' Boletín de Inscripción '!Y43)&gt;20,UPPER(LEFT(' Boletín de Inscripción '!Y43,20)),UPPER(' Boletín de Inscripción '!Y43)))&amp;" "&amp;' Boletín de Inscripción '!AD43</f>
        <v xml:space="preserve"> </v>
      </c>
      <c r="J2" s="136" t="str">
        <f>IF(' Boletín de Inscripción '!R43,"",IF(LEN(DNICIFCONCURSANTE)&gt;20,UPPER(LEFT("DNICIRCONCURSANTE",20)),UPPER(DNICIFCONCURSANTE)))</f>
        <v/>
      </c>
      <c r="K2" s="136" t="str">
        <f>IF(' Boletín de Inscripción '!D41="","",IF(LEN(' Boletín de Inscripción '!D41)&gt;40,PROPER(LEFT(' Boletín de Inscripción '!D41,40)),PROPER(' Boletín de Inscripción '!D41)))</f>
        <v/>
      </c>
      <c r="L2" s="136" t="str">
        <f>IF(' Boletín de Inscripción '!Q41="","",IF(LEN(' Boletín de Inscripción '!Q41)&gt;10,LEFT(' Boletín de Inscripción '!Q41,10),' Boletín de Inscripción '!Q41))</f>
        <v/>
      </c>
      <c r="M2" s="136" t="str">
        <f>IF(' Boletín de Inscripción '!V41="","",IF(LEN(' Boletín de Inscripción '!V41)&gt;25,PROPER(LEFT(' Boletín de Inscripción '!V41,25)),PROPER(' Boletín de Inscripción '!V41)))</f>
        <v/>
      </c>
      <c r="N2" s="136" t="str">
        <f>IF(' Boletín de Inscripción '!D43="","",IF(LEN(' Boletín de Inscripción '!D43)&gt;25,UPPER(LEFT(' Boletín de Inscripción '!D43,25)),UPPER(' Boletín de Inscripción '!D43)))</f>
        <v/>
      </c>
      <c r="O2" s="136" t="str">
        <f>IF(' Boletín de Inscripción '!D45="","",IF(LEN(' Boletín de Inscripción '!D45)&gt;15,LEFT(' Boletín de Inscripción '!D45,15),' Boletín de Inscripción '!D45))</f>
        <v/>
      </c>
      <c r="P2" s="136" t="str">
        <f>IF(' Boletín de Inscripción '!I45="","",IF(LEN(' Boletín de Inscripción '!I45)&gt;15,LEFT(' Boletín de Inscripción '!I45,15),' Boletín de Inscripción '!I45))</f>
        <v/>
      </c>
      <c r="Q2" s="136" t="str">
        <f>IF(' Boletín de Inscripción '!N45="","",IF(LEN(' Boletín de Inscripción '!N45)&gt;15,LEFT(' Boletín de Inscripción '!N45,15),' Boletín de Inscripción '!N45))</f>
        <v/>
      </c>
      <c r="R2" s="136" t="str">
        <f>IF(' Boletín de Inscripción '!V45="","",IF(LEN(' Boletín de Inscripción '!V45)&gt;30,LEFT(' Boletín de Inscripción '!V45,30),' Boletín de Inscripción '!V45))</f>
        <v/>
      </c>
      <c r="S2" s="136" t="str">
        <f>IF(' Boletín de Inscripción '!V48="","",IF(LEN(' Boletín de Inscripción '!V48)&gt;25,PROPER(LEFT(' Boletín de Inscripción '!V48,25)),PROPER(' Boletín de Inscripción '!V48)))</f>
        <v/>
      </c>
      <c r="T2" s="136" t="str">
        <f>IF(' Boletín de Inscripción '!D48="","",IF(LEN(' Boletín de Inscripción '!D48)&gt;25,UPPER(LEFT(' Boletín de Inscripción '!D48,25)),UPPER(' Boletín de Inscripción '!D48)))</f>
        <v/>
      </c>
      <c r="U2" s="136" t="str">
        <f>IF(' Boletín de Inscripción '!L48="","",IF(LEN(' Boletín de Inscripción '!L48)&gt;25,UPPER(LEFT(' Boletín de Inscripción '!L48,25)),UPPER(' Boletín de Inscripción '!L48)))</f>
        <v/>
      </c>
      <c r="V2" s="136" t="str">
        <f>S2&amp;" "&amp;T2&amp;" "&amp;U2</f>
        <v xml:space="preserve">  </v>
      </c>
      <c r="W2" s="136" t="str">
        <f>IF(' Boletín de Inscripción '!J52="","",UPPER(LEFT(' Boletín de Inscripción '!J52,1)))</f>
        <v/>
      </c>
      <c r="X2" s="136" t="str">
        <f>IF(' Boletín de Inscripción '!Y52="","",IF(LEN(' Boletín de Inscripción '!Y52)&gt;20,UPPER(LEFT(' Boletín de Inscripción '!Y52,20)),UPPER(' Boletín de Inscripción '!Y52)))</f>
        <v/>
      </c>
      <c r="Y2" s="136" t="str">
        <f>IF(' Boletín de Inscripción '!Q52="","",IF(LEN(' Boletín de Inscripción '!Q52)&gt;20,UPPER(LEFT(' Boletín de Inscripción '!Q52,20)),UPPER(' Boletín de Inscripción '!Q52)))</f>
        <v/>
      </c>
      <c r="Z2" s="136" t="str">
        <f>IF(' Boletín de Inscripción '!D50="","",IF(LEN(' Boletín de Inscripción '!D50)&gt;40,PROPER(LEFT(' Boletín de Inscripción '!D50,40)),PROPER(' Boletín de Inscripción '!D50)))</f>
        <v/>
      </c>
      <c r="AA2" s="136" t="str">
        <f>IF(' Boletín de Inscripción '!Q50="","",IF(LEN(' Boletín de Inscripción '!Q50)&gt;10,LEFT(' Boletín de Inscripción '!Q50,10),' Boletín de Inscripción '!Q50))</f>
        <v/>
      </c>
      <c r="AB2" s="136" t="str">
        <f>IF(' Boletín de Inscripción '!V50="","",IF(LEN(' Boletín de Inscripción '!V50)&gt;25,PROPER(LEFT(' Boletín de Inscripción '!V50,25)),PROPER(' Boletín de Inscripción '!V50)))</f>
        <v/>
      </c>
      <c r="AC2" s="136" t="str">
        <f>IF(' Boletín de Inscripción '!D52="","",IF(LEN(' Boletín de Inscripción '!D52)&gt;25,UPPER(LEFT(' Boletín de Inscripción '!D52,25)),UPPER(' Boletín de Inscripción '!D52)))</f>
        <v/>
      </c>
      <c r="AD2" s="136" t="str">
        <f>IF(' Boletín de Inscripción '!D54="","",IF(LEN(' Boletín de Inscripción '!D54)&gt;15,LEFT(' Boletín de Inscripción '!D54,15),' Boletín de Inscripción '!D54))</f>
        <v/>
      </c>
      <c r="AE2" s="136" t="str">
        <f>IF(' Boletín de Inscripción '!I54="","",IF(LEN(' Boletín de Inscripción '!I54)&gt;15,LEFT(' Boletín de Inscripción '!I54,15),' Boletín de Inscripción '!I54))</f>
        <v/>
      </c>
      <c r="AF2" s="136" t="str">
        <f>IF(' Boletín de Inscripción '!N54="","",IF(LEN(' Boletín de Inscripción '!N54)&gt;15,LEFT(' Boletín de Inscripción '!N54,15),' Boletín de Inscripción '!N54))</f>
        <v/>
      </c>
      <c r="AG2" s="136" t="str">
        <f>IF(' Boletín de Inscripción '!V54="","",IF(LEN(' Boletín de Inscripción '!V54)&gt;30,LEFT(' Boletín de Inscripción '!V54,30),' Boletín de Inscripción '!V54))</f>
        <v/>
      </c>
      <c r="AH2" s="136" t="str">
        <f>IF(' Boletín de Inscripción '!V57="","",IF(LEN(' Boletín de Inscripción '!V57)&gt;25,PROPER(LEFT(' Boletín de Inscripción '!V57,25)),PROPER(' Boletín de Inscripción '!V57)))</f>
        <v/>
      </c>
      <c r="AI2" s="136" t="str">
        <f>IF(' Boletín de Inscripción '!D57="","",IF(LEN(' Boletín de Inscripción '!D57)&gt;25,UPPER(LEFT(' Boletín de Inscripción '!D57,25)),UPPER(' Boletín de Inscripción '!D57)))</f>
        <v/>
      </c>
      <c r="AJ2" s="136" t="str">
        <f>IF(' Boletín de Inscripción '!L57="","",IF(LEN(' Boletín de Inscripción '!L57)&gt;25,UPPER(LEFT(' Boletín de Inscripción '!L57,25)),UPPER(' Boletín de Inscripción '!L57)))</f>
        <v/>
      </c>
      <c r="AK2" s="136" t="str">
        <f>AH2&amp;" "&amp;AI2&amp;" "&amp;AJ2</f>
        <v xml:space="preserve">  </v>
      </c>
      <c r="AL2" s="136" t="str">
        <f>IF( ' Boletín de Inscripción '!J61="","",UPPER(LEFT(' Boletín de Inscripción '!J61,1)))</f>
        <v/>
      </c>
      <c r="AM2" s="136" t="str">
        <f>IF(' Boletín de Inscripción '!Y61="","",IF(LEN(' Boletín de Inscripción '!Y61)&gt;20,UPPER(LEFT(' Boletín de Inscripción '!Y61,20)),UPPER(' Boletín de Inscripción '!Y61)))</f>
        <v/>
      </c>
      <c r="AN2" s="136" t="str">
        <f>IF(' Boletín de Inscripción '!Q61="","",IF(LEN(' Boletín de Inscripción '!Q61)&gt;20,UPPER(LEFT(' Boletín de Inscripción '!Q61,20)),UPPER(' Boletín de Inscripción '!Q61)))</f>
        <v/>
      </c>
      <c r="AO2" s="136" t="str">
        <f>IF(' Boletín de Inscripción '!D59="","",IF(LEN(' Boletín de Inscripción '!D59)&gt;40,PROPER(LEFT(' Boletín de Inscripción '!D59,40)),PROPER(' Boletín de Inscripción '!D59)))</f>
        <v/>
      </c>
      <c r="AP2" s="136" t="str">
        <f>IF(' Boletín de Inscripción '!Q59="","",IF(LEN(' Boletín de Inscripción '!Q59)&gt;10,LEFT(' Boletín de Inscripción '!Q59,10),' Boletín de Inscripción '!Q59))</f>
        <v/>
      </c>
      <c r="AQ2" s="136" t="str">
        <f>IF(' Boletín de Inscripción '!V59="","",IF(LEN(' Boletín de Inscripción '!V59)&gt;25,PROPER(LEFT(' Boletín de Inscripción '!V59,25)),PROPER(' Boletín de Inscripción '!V59)))</f>
        <v/>
      </c>
      <c r="AR2" s="136" t="str">
        <f>IF(' Boletín de Inscripción '!D61="","",IF(LEN(' Boletín de Inscripción '!D61)&gt;25,UPPER(LEFT(' Boletín de Inscripción '!D61,25)),UPPER(' Boletín de Inscripción '!D61)))</f>
        <v/>
      </c>
      <c r="AS2" s="136" t="str">
        <f>IF(' Boletín de Inscripción '!D63="","",IF(LEN(' Boletín de Inscripción '!D63)&gt;15,LEFT(' Boletín de Inscripción '!D63,15),' Boletín de Inscripción '!D63))</f>
        <v/>
      </c>
      <c r="AT2" s="136" t="str">
        <f>IF(' Boletín de Inscripción '!I63="","",IF(LEN(' Boletín de Inscripción '!I63)&gt;15,LEFT(' Boletín de Inscripción '!I63,15),' Boletín de Inscripción '!I63))</f>
        <v/>
      </c>
      <c r="AU2" s="136" t="str">
        <f>IF(' Boletín de Inscripción '!N63="","",IF(LEN(' Boletín de Inscripción '!N63)&gt;15,LEFT(' Boletín de Inscripción '!N63,15),' Boletín de Inscripción '!N63))</f>
        <v/>
      </c>
      <c r="AV2" s="136" t="str">
        <f>IF(' Boletín de Inscripción '!V63="","",IF(LEN(' Boletín de Inscripción '!V63)&gt;30,LEFT(' Boletín de Inscripción '!V63,30),' Boletín de Inscripción '!V63))</f>
        <v/>
      </c>
      <c r="AW2" s="136" t="str">
        <f>IF(' Boletín de Inscripción '!C68="","",IF(LEN(' Boletín de Inscripción '!C68)&gt;25,PROPER(LEFT(' Boletín de Inscripción '!C68,25)),PROPER(' Boletín de Inscripción '!C68)))</f>
        <v/>
      </c>
      <c r="AX2" s="136" t="str">
        <f>IF(' Boletín de Inscripción '!C70="","",IF(LEN(' Boletín de Inscripción '!C70)&gt;25,UPPER(LEFT(' Boletín de Inscripción '!C70,25)),UPPER(' Boletín de Inscripción '!C70)))</f>
        <v/>
      </c>
      <c r="AY2" s="136" t="str">
        <f>IF(' Boletín de Inscripción '!J74="","",IF(LEN(' Boletín de Inscripción '!J74)&gt;25,UPPER(LEFT(' Boletín de Inscripción '!J74,25)),UPPER(' Boletín de Inscripción '!J74)))</f>
        <v/>
      </c>
      <c r="AZ2" s="138" t="str">
        <f>IF(' Boletín de Inscripción '!C74="","",IF(LEN(' Boletín de Inscripción '!C74)&gt;25,UPPER(LEFT(' Boletín de Inscripción '!C74,25)),UPPER(' Boletín de Inscripción '!C74)))</f>
        <v>0</v>
      </c>
      <c r="BA2" s="136" t="str">
        <f>IF(' Boletín de Inscripción '!J68="","",IF(LEN(' Boletín de Inscripción '!J68)&gt;25,UPPER(LEFT(' Boletín de Inscripción '!J68,25)),UPPER(' Boletín de Inscripción '!J68)))</f>
        <v/>
      </c>
      <c r="BB2" s="136" t="str">
        <f>IF(' Boletín de Inscripción '!Z131="","",IF(LEN(' Boletín de Inscripción '!Z131)&gt;3,UPPER(LEFT(' Boletín de Inscripción '!Z131,5)),UPPER(' Boletín de Inscripción '!Z131)))</f>
        <v xml:space="preserve"> </v>
      </c>
      <c r="BC2" s="136" t="str">
        <f>IF(' Boletín de Inscripción '!W72="","",IF(LEN(' Boletín de Inscripción '!W72)&gt;3,LEFT(' Boletín de Inscripción '!W72,10),' Boletín de Inscripción '!W72))</f>
        <v/>
      </c>
      <c r="BD2" s="136" t="str">
        <f>IF(' Boletín de Inscripción '!Q69="","",IF(LEN(' Boletín de Inscripción '!Q69)&gt;3,LEFT(' Boletín de Inscripción '!Q69,25),' Boletín de Inscripción '!Q69))</f>
        <v/>
      </c>
      <c r="BE2" s="136" t="e">
        <f>IF(Trofeo1=TRUE,"SI","NO")</f>
        <v>#REF!</v>
      </c>
      <c r="BF2" s="136" t="e">
        <f>IF(Trofeo2=TRUE,"SI","NO")</f>
        <v>#REF!</v>
      </c>
      <c r="BG2" s="136" t="e">
        <f>IF(Trofeo3=TRUE,"SI","NO")</f>
        <v>#REF!</v>
      </c>
      <c r="BH2" s="136" t="e">
        <f>IF(Trofeo4=TRUE,"SI","NO")</f>
        <v>#REF!</v>
      </c>
      <c r="BI2" s="136" t="e">
        <f>IF(Trofeo5=TRUE,"SI","NO")</f>
        <v>#REF!</v>
      </c>
      <c r="BJ2" s="136" t="e">
        <f>IF(Trofeo6=TRUE,"SI","NO")</f>
        <v>#REF!</v>
      </c>
      <c r="BK2" s="136" t="str">
        <f>IF(Trofeo7=TRUE,"SI","NO")</f>
        <v>NO</v>
      </c>
      <c r="BL2" s="136" t="str">
        <f>IF(Trofeo8=TRUE,"SI","NO")</f>
        <v>SI</v>
      </c>
      <c r="BM2" s="136" t="s">
        <v>129</v>
      </c>
      <c r="BN2" s="136" t="str">
        <f>IF(Publicidad=1,"SI","NO")</f>
        <v>SI</v>
      </c>
      <c r="BO2" s="136" t="str">
        <f>IF(Shakedown=TRUE,"SI","NO")</f>
        <v>NO</v>
      </c>
      <c r="BP2" s="139">
        <f ca="1">IF(' Boletín de Inscripción '!W25="",TODAY(),' Boletín de Inscripción '!V25)</f>
        <v>44357</v>
      </c>
      <c r="BQ2" s="140">
        <f ca="1">IF(' Boletín de Inscripción '!W28="",NOW(),' Boletín de Inscripción '!W28)</f>
        <v>44357.874780439815</v>
      </c>
      <c r="BR2" s="136" t="e">
        <f>IF(' Boletín de Inscripción '!#REF!="","",IF(LEN(' Boletín de Inscripción '!#REF!)&gt;61,PROPER(LEFT(' Boletín de Inscripción '!#REF!,61)),PROPER(' Boletín de Inscripción '!#REF!)))</f>
        <v>#REF!</v>
      </c>
      <c r="BS2" s="137" t="s">
        <v>130</v>
      </c>
      <c r="BT2" s="136" t="e">
        <f>IF(' Boletín de Inscripción '!#REF!="","",IF(LEN(' Boletín de Inscripción '!#REF!)&gt;1,UPPER(LEFT(' Boletín de Inscripción '!#REF!,1)),UPPER(' Boletín de Inscripción '!#REF!)))</f>
        <v>#REF!</v>
      </c>
      <c r="BU2" s="136" t="e">
        <f>IF(' Boletín de Inscripción '!#REF!="","",IF(LEN(' Boletín de Inscripción '!#REF!)&gt;1,LEFT(' Boletín de Inscripción '!#REF!,1),' Boletín de Inscripción '!#REF!))</f>
        <v>#REF!</v>
      </c>
      <c r="BV2" s="136" t="e">
        <f>IF(' Boletín de Inscripción '!#REF!="","",IF(LEN(' Boletín de Inscripción '!#REF!)&gt;1,UPPER(LEFT(' Boletín de Inscripción '!#REF!,1)),UPPER(' Boletín de Inscripción '!#REF!)))</f>
        <v>#REF!</v>
      </c>
      <c r="BW2" s="136" t="e">
        <f>IF(' Boletín de Inscripción '!#REF!="","",IF(LEN(' Boletín de Inscripción '!#REF!)&gt;1,LEFT(' Boletín de Inscripción '!#REF!,1),' Boletín de Inscripción '!#REF!))</f>
        <v>#REF!</v>
      </c>
      <c r="BX2" s="136" t="str">
        <f>IF(Ouvreur=TRUE,"SI","NO")</f>
        <v>NO</v>
      </c>
      <c r="BY2" s="136" t="str">
        <f>IF(Auxiliar=TRUE,"SI","NO")</f>
        <v>NO</v>
      </c>
      <c r="BZ2" s="136" t="e">
        <f>IF(NombreA1="","",IF(LEN(NombreA1)&gt;25,UPPER(LEFT(NombreA1,25)),UPPER(NombreA1)))</f>
        <v>#REF!</v>
      </c>
      <c r="CA2" s="136" t="e">
        <f>IF(PrimerApellidoA1="","",IF(LEN(PrimerApellidoA1)&gt;25,UPPER(LEFT(PrimerApellidoA1,25)),UPPER(PrimerApellidoA1)))</f>
        <v>#REF!</v>
      </c>
      <c r="CB2" s="136" t="e">
        <f>IF(SegundoApellidoA1="","",IF(LEN(SegundoApellidoA1)&gt;25,UPPER(LEFT(SegundoApellidoA1,25)),UPPER(SegundoApellidoA1)))</f>
        <v>#REF!</v>
      </c>
      <c r="CC2" s="136" t="e">
        <f>IF(DniCifA1="","",IF(LEN(DniCifA1)&gt;25,UPPER(LEFT(DniCifA1,25)),UPPER(DniCifA1)))</f>
        <v>#REF!</v>
      </c>
      <c r="CD2" s="136" t="e">
        <f>IF(LicenciaA1="","",IF(LEN(LicenciaA1)&gt;25,UPPER(LEFT(LicenciaA1,25)),UPPER(LicenciaA1)))</f>
        <v>#REF!</v>
      </c>
      <c r="CE2" s="136" t="e">
        <f>IF(NombreA2="","",IF(LEN(NombreA2)&gt;25,UPPER(LEFT(NombreA2,25)),UPPER(NombreA2)))</f>
        <v>#REF!</v>
      </c>
      <c r="CF2" s="136" t="e">
        <f>IF(PrimerApellidoA2="","",IF(LEN(PrimerApellidoA2)&gt;25,UPPER(LEFT(PrimerApellidoA2,25)),UPPER(PrimerApellidoA2)))</f>
        <v>#REF!</v>
      </c>
      <c r="CG2" s="136" t="e">
        <f>IF(SegundoApellidoA2="","",IF(LEN(SegundoApellidoA2)&gt;25,UPPER(LEFT(SegundoApellidoA2,25)),UPPER(SegundoApellidoA2)))</f>
        <v>#REF!</v>
      </c>
      <c r="CH2" s="136" t="e">
        <f>IF(DniCifA2="","",IF(LEN(DniCifA2)&gt;25,UPPER(LEFT(DniCifA2,25)),UPPER(DniCifA2)))</f>
        <v>#REF!</v>
      </c>
      <c r="CI2" s="136" t="e">
        <f>IF(LicenciaA2="","",IF(LEN(LicenciaA2)&gt;25,UPPER(LEFT(LicenciaA2,25)),UPPER(LicenciaA2)))</f>
        <v>#REF!</v>
      </c>
      <c r="CJ2" s="136" t="e">
        <f>IF(NombreR1="","",IF(LEN(NombreR1)&gt;25,UPPER(LEFT(NombreR1,25)),UPPER(NombreR1)))</f>
        <v>#REF!</v>
      </c>
      <c r="CK2" s="136" t="e">
        <f>IF(PrimerApellidoR1="","",IF(LEN(PrimerApellidoR1)&gt;25,UPPER(LEFT(PrimerApellidoR1,25)),UPPER(PrimerApellidoR1)))</f>
        <v>#REF!</v>
      </c>
      <c r="CL2" s="136" t="e">
        <f>IF(SegundoApellidoR1="","",IF(LEN(SegundoApellidoR1)&gt;25,UPPER(LEFT(SegundoApellidoR1,25)),UPPER(SegundoApellidoR1)))</f>
        <v>#REF!</v>
      </c>
      <c r="CM2" s="136" t="e">
        <f>IF(DniCifR1="","",IF(LEN(DniCifR1)&gt;25,UPPER(LEFT(DniCifR1,25)),UPPER(DniCifR1)))</f>
        <v>#REF!</v>
      </c>
      <c r="CN2" s="136" t="e">
        <f>IF(LicenciaR1="","",IF(LEN(LicenciaR1)&gt;25,UPPER(LEFT(LicenciaR1,25)),UPPER(LicenciaR1)))</f>
        <v>#REF!</v>
      </c>
      <c r="CO2" s="136" t="e">
        <f>IF(NombreR2="","",IF(LEN(NombreR2)&gt;25,UPPER(LEFT(NombreR2,25)),UPPER(NombreR2)))</f>
        <v>#REF!</v>
      </c>
      <c r="CP2" s="136" t="e">
        <f>IF(PrimerApellidoR2="","",IF(LEN(PrimerApellidoR2)&gt;25,UPPER(LEFT(PrimerApellidoR2,25)),UPPER(PrimerApellidoR2)))</f>
        <v>#REF!</v>
      </c>
      <c r="CQ2" s="136" t="e">
        <f>IF(SegundoApellidoR2="","",IF(LEN(SegundoApellidoR2)&gt;25,UPPER(LEFT(SegundoApellidoR2,25)),UPPER(SegundoApellidoR2)))</f>
        <v>#REF!</v>
      </c>
      <c r="CR2" s="136" t="e">
        <f>IF(DniCifR2="","",IF(LEN(DniCifR2)&gt;25,UPPER(LEFT(DniCifR2,25)),UPPER(DniCifR2)))</f>
        <v>#REF!</v>
      </c>
      <c r="CS2" s="136" t="e">
        <f>IF(LicenciaR2="","",IF(LEN(LicenciaR2)&gt;25,UPPER(LEFT(LicenciaR2,25)),UPPER(LicenciaR2)))</f>
        <v>#REF!</v>
      </c>
      <c r="CT2" s="136" t="e">
        <f>IF(NombreAux="","",IF(LEN(NombreAux)&gt;25,UPPER(LEFT(NombreAux,25)),UPPER(NombreAux)))</f>
        <v>#REF!</v>
      </c>
      <c r="CU2" s="136" t="e">
        <f>IF(PrimerApellidoAux="","",IF(LEN(PrimerApellidoAux)&gt;25,UPPER(LEFT(PrimerApellidoAux,25)),UPPER(PrimerApellidoAux)))</f>
        <v>#REF!</v>
      </c>
      <c r="CV2" s="136" t="e">
        <f>IF(SegundoApellidoAux="","",IF(LEN(SegundoApellidoAux)&gt;25,UPPER(LEFT(SegundoApellidoAux,25)),UPPER(SegundoApellidoAux)))</f>
        <v>#REF!</v>
      </c>
      <c r="CW2" s="136" t="e">
        <f>IF(DniCifAux="","",IF(LEN(DniCifAux)&gt;25,UPPER(LEFT(DniCifAux,25)),UPPER(DniCifAux)))</f>
        <v>#REF!</v>
      </c>
      <c r="CX2" s="136" t="e">
        <f>IF(LicenciaAux="","",IF(LEN(LicenciaAux)&gt;25,UPPER(LEFT(LicenciaAux,25)),UPPER(LicenciaAux)))</f>
        <v>#REF!</v>
      </c>
      <c r="CY2" s="136" t="e">
        <f>IF(NombreO1="","",IF(LEN(NombreO1)&gt;25,UPPER(LEFT(NombreO1,25)),UPPER(NombreO1)))</f>
        <v>#REF!</v>
      </c>
      <c r="CZ2" s="136" t="e">
        <f>IF(PrimerApellidoO1="","",IF(LEN(PrimerApellidoO1)&gt;25,UPPER(LEFT(PrimerApellidoO1,25)),UPPER(PrimerApellidoO1)))</f>
        <v>#REF!</v>
      </c>
      <c r="DA2" s="136" t="e">
        <f>IF(SegundoApellidoO1="","",IF(LEN(SegundoApellidoO1)&gt;25,UPPER(LEFT(SegundoApellidoO1,25)),UPPER(SegundoApellidoO1)))</f>
        <v>#REF!</v>
      </c>
      <c r="DB2" s="136" t="e">
        <f>IF(DniCifO1="","",IF(LEN(DniCifO1)&gt;25,UPPER(LEFT(DniCifO1,25)),UPPER(DniCifO1)))</f>
        <v>#REF!</v>
      </c>
      <c r="DC2" s="136" t="e">
        <f>IF(LicenciaO1="","",IF(LEN(LicenciaO1)&gt;25,UPPER(LEFT(LicenciaO1,25)),UPPER(LicenciaO1)))</f>
        <v>#REF!</v>
      </c>
      <c r="DD2" s="136" t="e">
        <f>IF(NombreO2="","",IF(LEN(NombreO2)&gt;25,UPPER(LEFT(NombreO2,25)),UPPER(NombreO2)))</f>
        <v>#REF!</v>
      </c>
      <c r="DE2" s="136" t="e">
        <f>IF(PrimerApellidoO2="","",IF(LEN(PrimerApellidoO2)&gt;25,UPPER(LEFT(PrimerApellidoO2,25)),UPPER(PrimerApellidoO2)))</f>
        <v>#REF!</v>
      </c>
      <c r="DF2" s="136" t="e">
        <f>IF(SegundoApellidoO2="","",IF(LEN(SegundoApellidoO2)&gt;25,UPPER(LEFT(SegundoApellidoO2,25)),UPPER(SegundoApellidoO2)))</f>
        <v>#REF!</v>
      </c>
      <c r="DG2" s="136" t="e">
        <f>IF(DniCifO2="","",IF(LEN(DniCifO2)&gt;25,UPPER(LEFT(DniCifO2,25)),UPPER(DniCifO2)))</f>
        <v>#REF!</v>
      </c>
      <c r="DH2" s="136" t="e">
        <f>IF(LicenciaO2="","",IF(LEN(LicenciaO2)&gt;25,UPPER(LEFT(LicenciaO2,25)),UPPER(LicenciaO2)))</f>
        <v>#REF!</v>
      </c>
      <c r="DI2" s="136" t="e">
        <f>IF(MarcaOuvreur="","",IF(LEN(MarcaOuvreur)&gt;25,UPPER(LEFT(MarcaOuvreur,25)),UPPER(MarcaOuvreur)))</f>
        <v>#REF!</v>
      </c>
      <c r="DJ2" s="136" t="e">
        <f>IF(ModeloOuvreur="","",IF(LEN(ModeloOuvreur)&gt;25,PROPER(LEFT(ModeloOuvreur,25)),PROPER(ModeloOuvreur)))</f>
        <v>#REF!</v>
      </c>
      <c r="DK2" s="136" t="e">
        <f>IF(MatriculaOuvreur="","",IF(LEN(MatriculaOuvreur)&gt;25,UPPER(LEFT(MatriculaOuvreur,25)),UPPER(MatriculaOuvreur)))</f>
        <v>#REF!</v>
      </c>
    </row>
    <row r="3" spans="1:115" x14ac:dyDescent="0.2">
      <c r="I3" s="135"/>
    </row>
  </sheetData>
  <phoneticPr fontId="24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25" zoomScale="174" zoomScaleNormal="174" workbookViewId="0">
      <selection activeCell="B18" sqref="B18:O18"/>
    </sheetView>
  </sheetViews>
  <sheetFormatPr baseColWidth="10" defaultColWidth="0" defaultRowHeight="0" customHeight="1" zeroHeight="1" x14ac:dyDescent="0.2"/>
  <cols>
    <col min="1" max="1" width="4" style="43" hidden="1" customWidth="1"/>
    <col min="2" max="2" width="5.7109375" style="39" hidden="1" customWidth="1"/>
    <col min="3" max="3" width="9.7109375" style="39" customWidth="1"/>
    <col min="4" max="4" width="13.7109375" style="39" customWidth="1"/>
    <col min="5" max="5" width="6.28515625" style="39" customWidth="1"/>
    <col min="6" max="6" width="13.7109375" style="39" customWidth="1"/>
    <col min="7" max="8" width="8.7109375" style="39" customWidth="1"/>
    <col min="9" max="15" width="4.7109375" style="39" customWidth="1"/>
    <col min="16" max="16" width="3.7109375" style="44" hidden="1" customWidth="1"/>
    <col min="17" max="17" width="4.140625" style="44" hidden="1" customWidth="1"/>
    <col min="18" max="26" width="11.42578125" style="44" hidden="1" customWidth="1"/>
    <col min="27" max="31" width="11.42578125" style="45" hidden="1" customWidth="1"/>
    <col min="32" max="162" width="11.42578125" style="43" hidden="1" customWidth="1"/>
    <col min="163" max="163" width="7.7109375" style="43" hidden="1" customWidth="1"/>
    <col min="164" max="16384" width="11.42578125" style="43" hidden="1"/>
  </cols>
  <sheetData>
    <row r="1" spans="1:16" ht="10.5" customHeight="1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ht="8.25" customHeight="1" x14ac:dyDescent="0.2">
      <c r="A2" s="61"/>
      <c r="B2" s="60"/>
      <c r="C2" s="35"/>
      <c r="D2" s="35"/>
      <c r="E2" s="671" t="s">
        <v>321</v>
      </c>
      <c r="F2" s="671"/>
      <c r="G2" s="671"/>
      <c r="H2" s="671"/>
      <c r="I2" s="671"/>
      <c r="J2" s="671"/>
      <c r="K2" s="671"/>
      <c r="L2" s="671"/>
      <c r="M2" s="671"/>
      <c r="N2" s="671"/>
      <c r="O2" s="672"/>
      <c r="P2" s="62"/>
    </row>
    <row r="3" spans="1:16" ht="60" customHeight="1" x14ac:dyDescent="0.2">
      <c r="A3" s="61"/>
      <c r="B3" s="675"/>
      <c r="C3" s="676"/>
      <c r="D3" s="51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4"/>
      <c r="P3" s="62"/>
    </row>
    <row r="4" spans="1:16" ht="6" customHeight="1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3"/>
    </row>
    <row r="5" spans="1:16" ht="27" customHeight="1" x14ac:dyDescent="0.2">
      <c r="A5" s="61"/>
      <c r="B5" s="677" t="s">
        <v>52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M5" s="678"/>
      <c r="N5" s="678"/>
      <c r="O5" s="679"/>
      <c r="P5" s="62"/>
    </row>
    <row r="6" spans="1:16" ht="5.25" customHeight="1" x14ac:dyDescent="0.2">
      <c r="A6" s="61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8"/>
      <c r="P6" s="62"/>
    </row>
    <row r="7" spans="1:16" ht="12" customHeight="1" x14ac:dyDescent="0.2">
      <c r="A7" s="61"/>
      <c r="B7" s="36"/>
      <c r="C7" s="691">
        <v>1</v>
      </c>
      <c r="D7" s="688" t="s">
        <v>33</v>
      </c>
      <c r="E7" s="689"/>
      <c r="F7" s="689"/>
      <c r="G7" s="689"/>
      <c r="H7" s="689"/>
      <c r="I7" s="689"/>
      <c r="J7" s="689"/>
      <c r="K7" s="689"/>
      <c r="L7" s="689"/>
      <c r="M7" s="689"/>
      <c r="N7" s="690"/>
      <c r="O7" s="38"/>
      <c r="P7" s="62"/>
    </row>
    <row r="8" spans="1:16" ht="12" customHeight="1" x14ac:dyDescent="0.2">
      <c r="A8" s="61"/>
      <c r="B8" s="36"/>
      <c r="C8" s="687"/>
      <c r="D8" s="683"/>
      <c r="E8" s="684"/>
      <c r="F8" s="684"/>
      <c r="G8" s="684"/>
      <c r="H8" s="684"/>
      <c r="I8" s="684"/>
      <c r="J8" s="684"/>
      <c r="K8" s="684"/>
      <c r="L8" s="684"/>
      <c r="M8" s="684"/>
      <c r="N8" s="685"/>
      <c r="O8" s="38"/>
      <c r="P8" s="62"/>
    </row>
    <row r="9" spans="1:16" ht="12" customHeight="1" x14ac:dyDescent="0.2">
      <c r="A9" s="61"/>
      <c r="B9" s="36"/>
      <c r="C9" s="686">
        <v>2</v>
      </c>
      <c r="D9" s="680" t="s">
        <v>32</v>
      </c>
      <c r="E9" s="681"/>
      <c r="F9" s="681"/>
      <c r="G9" s="681"/>
      <c r="H9" s="681"/>
      <c r="I9" s="681"/>
      <c r="J9" s="681"/>
      <c r="K9" s="681"/>
      <c r="L9" s="681"/>
      <c r="M9" s="681"/>
      <c r="N9" s="682"/>
      <c r="O9" s="38"/>
      <c r="P9" s="62"/>
    </row>
    <row r="10" spans="1:16" ht="12" customHeight="1" x14ac:dyDescent="0.2">
      <c r="A10" s="61"/>
      <c r="B10" s="36"/>
      <c r="C10" s="687"/>
      <c r="D10" s="683"/>
      <c r="E10" s="684"/>
      <c r="F10" s="684"/>
      <c r="G10" s="684"/>
      <c r="H10" s="684"/>
      <c r="I10" s="684"/>
      <c r="J10" s="684"/>
      <c r="K10" s="684"/>
      <c r="L10" s="684"/>
      <c r="M10" s="684"/>
      <c r="N10" s="685"/>
      <c r="O10" s="38"/>
      <c r="P10" s="62"/>
    </row>
    <row r="11" spans="1:16" ht="12" customHeight="1" x14ac:dyDescent="0.2">
      <c r="A11" s="61"/>
      <c r="B11" s="36"/>
      <c r="C11" s="686">
        <v>3</v>
      </c>
      <c r="D11" s="680" t="s">
        <v>34</v>
      </c>
      <c r="E11" s="681"/>
      <c r="F11" s="681"/>
      <c r="G11" s="681"/>
      <c r="H11" s="681"/>
      <c r="I11" s="681"/>
      <c r="J11" s="681"/>
      <c r="K11" s="681"/>
      <c r="L11" s="681"/>
      <c r="M11" s="681"/>
      <c r="N11" s="682"/>
      <c r="O11" s="38"/>
      <c r="P11" s="62"/>
    </row>
    <row r="12" spans="1:16" ht="12" customHeight="1" thickBot="1" x14ac:dyDescent="0.25">
      <c r="A12" s="61"/>
      <c r="B12" s="36"/>
      <c r="C12" s="695"/>
      <c r="D12" s="708"/>
      <c r="E12" s="709"/>
      <c r="F12" s="709"/>
      <c r="G12" s="709"/>
      <c r="H12" s="709"/>
      <c r="I12" s="709"/>
      <c r="J12" s="709"/>
      <c r="K12" s="709"/>
      <c r="L12" s="709"/>
      <c r="M12" s="709"/>
      <c r="N12" s="710"/>
      <c r="O12" s="38"/>
      <c r="P12" s="62"/>
    </row>
    <row r="13" spans="1:16" ht="5.25" customHeight="1" thickTop="1" x14ac:dyDescent="0.2">
      <c r="A13" s="61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8"/>
      <c r="P13" s="62"/>
    </row>
    <row r="14" spans="1:16" ht="34.5" customHeight="1" x14ac:dyDescent="0.2">
      <c r="A14" s="61"/>
      <c r="B14" s="36"/>
      <c r="C14" s="696" t="s">
        <v>312</v>
      </c>
      <c r="D14" s="696"/>
      <c r="E14" s="696"/>
      <c r="F14" s="696"/>
      <c r="G14" s="696"/>
      <c r="H14" s="696"/>
      <c r="I14" s="696"/>
      <c r="J14" s="696"/>
      <c r="K14" s="696"/>
      <c r="L14" s="696"/>
      <c r="M14" s="696"/>
      <c r="N14" s="696"/>
      <c r="O14" s="38"/>
      <c r="P14" s="62"/>
    </row>
    <row r="15" spans="1:16" ht="6" customHeight="1" x14ac:dyDescent="0.2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3"/>
    </row>
    <row r="16" spans="1:16" ht="15" customHeight="1" x14ac:dyDescent="0.2">
      <c r="A16" s="61"/>
      <c r="B16" s="52"/>
      <c r="C16" s="54">
        <v>4</v>
      </c>
      <c r="D16" s="227" t="str">
        <f>VLOOKUP(C16,' Datos de Organizadores '!A3:M10,11)</f>
        <v>10-11/07/2021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2"/>
      <c r="P16" s="62"/>
    </row>
    <row r="17" spans="1:16" ht="18" customHeight="1" x14ac:dyDescent="0.2">
      <c r="A17" s="61"/>
      <c r="B17" s="52"/>
      <c r="C17" s="698" t="s">
        <v>27</v>
      </c>
      <c r="D17" s="699"/>
      <c r="E17" s="699"/>
      <c r="F17" s="699"/>
      <c r="G17" s="699"/>
      <c r="H17" s="699"/>
      <c r="I17" s="699"/>
      <c r="J17" s="699"/>
      <c r="K17" s="699"/>
      <c r="L17" s="699"/>
      <c r="M17" s="699"/>
      <c r="N17" s="700"/>
      <c r="O17" s="52"/>
      <c r="P17" s="62"/>
    </row>
    <row r="18" spans="1:16" ht="24.6" customHeight="1" x14ac:dyDescent="0.2">
      <c r="A18" s="61"/>
      <c r="B18" s="677" t="str">
        <f>VLOOKUP(C16,' Datos de Organizadores '!A3:J10,2)</f>
        <v>VI Subida al Cerro de los Cañones</v>
      </c>
      <c r="C18" s="678"/>
      <c r="D18" s="678"/>
      <c r="E18" s="678"/>
      <c r="F18" s="678"/>
      <c r="G18" s="678"/>
      <c r="H18" s="678"/>
      <c r="I18" s="678"/>
      <c r="J18" s="678"/>
      <c r="K18" s="678"/>
      <c r="L18" s="678"/>
      <c r="M18" s="678"/>
      <c r="N18" s="678"/>
      <c r="O18" s="679"/>
      <c r="P18" s="62"/>
    </row>
    <row r="19" spans="1:16" ht="6" customHeight="1" x14ac:dyDescent="0.2">
      <c r="A19" s="61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2"/>
    </row>
    <row r="20" spans="1:16" ht="18" customHeight="1" x14ac:dyDescent="0.2">
      <c r="A20" s="61"/>
      <c r="B20" s="52"/>
      <c r="C20" s="704" t="s">
        <v>25</v>
      </c>
      <c r="D20" s="705"/>
      <c r="E20" s="705"/>
      <c r="F20" s="705"/>
      <c r="G20" s="705"/>
      <c r="H20" s="705"/>
      <c r="I20" s="705"/>
      <c r="J20" s="705"/>
      <c r="K20" s="705"/>
      <c r="L20" s="705"/>
      <c r="M20" s="705"/>
      <c r="N20" s="705"/>
      <c r="O20" s="52"/>
      <c r="P20" s="62"/>
    </row>
    <row r="21" spans="1:16" ht="18" customHeight="1" x14ac:dyDescent="0.2">
      <c r="A21" s="61"/>
      <c r="B21" s="711" t="s">
        <v>49</v>
      </c>
      <c r="C21" s="59" t="s">
        <v>46</v>
      </c>
      <c r="D21" s="697" t="str">
        <f>VLOOKUP(C16,' Datos de Organizadores '!A3:J10,3)</f>
        <v>ESC. CERRO DE LOS CAÑONES</v>
      </c>
      <c r="E21" s="697"/>
      <c r="F21" s="697"/>
      <c r="G21" s="697"/>
      <c r="H21" s="697"/>
      <c r="I21" s="697"/>
      <c r="J21" s="697"/>
      <c r="K21" s="697"/>
      <c r="L21" s="697"/>
      <c r="M21" s="697"/>
      <c r="N21" s="697"/>
      <c r="O21" s="697"/>
      <c r="P21" s="62"/>
    </row>
    <row r="22" spans="1:16" ht="18" customHeight="1" x14ac:dyDescent="0.2">
      <c r="A22" s="61"/>
      <c r="B22" s="711"/>
      <c r="C22" s="59" t="s">
        <v>2</v>
      </c>
      <c r="D22" s="697" t="str">
        <f>VLOOKUP(C16,' Datos de Organizadores '!A3:J10,4)</f>
        <v>CALLE HUERTOS, 47 , BAJO</v>
      </c>
      <c r="E22" s="697"/>
      <c r="F22" s="697"/>
      <c r="G22" s="697"/>
      <c r="H22" s="697"/>
      <c r="I22" s="697"/>
      <c r="J22" s="697"/>
      <c r="K22" s="697"/>
      <c r="L22" s="697"/>
      <c r="M22" s="697"/>
      <c r="N22" s="697"/>
      <c r="O22" s="697"/>
      <c r="P22" s="62"/>
    </row>
    <row r="23" spans="1:16" ht="18" customHeight="1" x14ac:dyDescent="0.2">
      <c r="A23" s="61"/>
      <c r="B23" s="711"/>
      <c r="C23" s="59" t="s">
        <v>47</v>
      </c>
      <c r="D23" s="55" t="str">
        <f>VLOOKUP(C16,' Datos de Organizadores '!A3:J10,5)</f>
        <v>18420</v>
      </c>
      <c r="E23" s="57" t="s">
        <v>23</v>
      </c>
      <c r="F23" s="712" t="str">
        <f>VLOOKUP(C16,' Datos de Organizadores '!A3:J10,6)</f>
        <v>LANJARÓN</v>
      </c>
      <c r="G23" s="712"/>
      <c r="H23" s="712"/>
      <c r="I23" s="712"/>
      <c r="J23" s="712"/>
      <c r="K23" s="712"/>
      <c r="L23" s="712"/>
      <c r="M23" s="712"/>
      <c r="N23" s="712"/>
      <c r="O23" s="712"/>
      <c r="P23" s="62"/>
    </row>
    <row r="24" spans="1:16" ht="18" customHeight="1" x14ac:dyDescent="0.2">
      <c r="A24" s="61"/>
      <c r="B24" s="711"/>
      <c r="C24" s="59" t="s">
        <v>30</v>
      </c>
      <c r="D24" s="712" t="str">
        <f>IF(VLOOKUP($C$16,' Datos de Organizadores '!$A$3:$J$9,7)&lt;&gt;0,"("&amp;(VLOOKUP($C$16,' Datos de Organizadores '!$A$3:$J$10,7)&amp;")"),"")</f>
        <v>(GRANADA)</v>
      </c>
      <c r="E24" s="712"/>
      <c r="F24" s="712"/>
      <c r="G24" s="712"/>
      <c r="H24" s="712"/>
      <c r="I24" s="712"/>
      <c r="J24" s="712"/>
      <c r="K24" s="712"/>
      <c r="L24" s="712"/>
      <c r="M24" s="712"/>
      <c r="N24" s="712"/>
      <c r="O24" s="712"/>
      <c r="P24" s="62"/>
    </row>
    <row r="25" spans="1:16" ht="18" customHeight="1" x14ac:dyDescent="0.2">
      <c r="A25" s="61"/>
      <c r="B25" s="711"/>
      <c r="C25" s="59" t="s">
        <v>19</v>
      </c>
      <c r="D25" s="56" t="str">
        <f>VLOOKUP(C16,' Datos de Organizadores '!A3:J10,8)</f>
        <v>958 772 150</v>
      </c>
      <c r="E25" s="58" t="s">
        <v>278</v>
      </c>
      <c r="F25" s="56">
        <f>VLOOKUP(C16,' Datos de Organizadores '!A3:J9,9)</f>
        <v>0</v>
      </c>
      <c r="G25" s="58" t="s">
        <v>20</v>
      </c>
      <c r="H25" s="706" t="str">
        <f>VLOOKUP(C16,' Datos de Organizadores '!A3:J10,10)</f>
        <v>inscripciones.subidalanjaron@gmail.com</v>
      </c>
      <c r="I25" s="707"/>
      <c r="J25" s="707"/>
      <c r="K25" s="707"/>
      <c r="L25" s="707"/>
      <c r="M25" s="707"/>
      <c r="N25" s="707"/>
      <c r="O25" s="707"/>
      <c r="P25" s="62"/>
    </row>
    <row r="26" spans="1:16" ht="6" customHeight="1" x14ac:dyDescent="0.2">
      <c r="A26" s="61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62"/>
    </row>
    <row r="27" spans="1:16" ht="15.75" customHeight="1" x14ac:dyDescent="0.2">
      <c r="A27" s="61"/>
      <c r="B27" s="52"/>
      <c r="C27" s="701" t="s">
        <v>17</v>
      </c>
      <c r="D27" s="702"/>
      <c r="E27" s="702"/>
      <c r="F27" s="702"/>
      <c r="G27" s="702"/>
      <c r="H27" s="702"/>
      <c r="I27" s="702"/>
      <c r="J27" s="702"/>
      <c r="K27" s="702"/>
      <c r="L27" s="702"/>
      <c r="M27" s="702"/>
      <c r="N27" s="703"/>
      <c r="O27" s="52"/>
      <c r="P27" s="62"/>
    </row>
    <row r="28" spans="1:16" ht="20.100000000000001" customHeight="1" x14ac:dyDescent="0.2">
      <c r="A28" s="61"/>
      <c r="B28" s="723" t="s">
        <v>50</v>
      </c>
      <c r="C28" s="692" t="s">
        <v>18</v>
      </c>
      <c r="D28" s="692"/>
      <c r="E28" s="692"/>
      <c r="F28" s="692"/>
      <c r="G28" s="692"/>
      <c r="H28" s="692"/>
      <c r="I28" s="693"/>
      <c r="J28" s="694" t="s">
        <v>193</v>
      </c>
      <c r="K28" s="694"/>
      <c r="L28" s="694"/>
      <c r="M28" s="694" t="s">
        <v>194</v>
      </c>
      <c r="N28" s="694"/>
      <c r="O28" s="694"/>
      <c r="P28" s="62"/>
    </row>
    <row r="29" spans="1:16" ht="20.100000000000001" customHeight="1" x14ac:dyDescent="0.2">
      <c r="A29" s="61"/>
      <c r="B29" s="723"/>
      <c r="C29" s="718" t="s">
        <v>230</v>
      </c>
      <c r="D29" s="719"/>
      <c r="E29" s="719"/>
      <c r="F29" s="719"/>
      <c r="G29" s="719"/>
      <c r="H29" s="719"/>
      <c r="I29" s="719"/>
      <c r="J29" s="725">
        <f>VLOOKUP($C$16,' Datos de Organizadores '!$A$3:$M$10,13)</f>
        <v>195</v>
      </c>
      <c r="K29" s="726"/>
      <c r="L29" s="726"/>
      <c r="M29" s="725">
        <f>Derechos1+50</f>
        <v>245</v>
      </c>
      <c r="N29" s="726"/>
      <c r="O29" s="726"/>
      <c r="P29" s="62"/>
    </row>
    <row r="30" spans="1:16" ht="18" hidden="1" customHeight="1" x14ac:dyDescent="0.2">
      <c r="A30" s="61"/>
      <c r="B30" s="723"/>
      <c r="C30" s="720" t="s">
        <v>48</v>
      </c>
      <c r="D30" s="720"/>
      <c r="E30" s="720"/>
      <c r="F30" s="720"/>
      <c r="G30" s="720"/>
      <c r="H30" s="720"/>
      <c r="I30" s="720"/>
      <c r="J30" s="725">
        <v>0</v>
      </c>
      <c r="K30" s="726"/>
      <c r="L30" s="726"/>
      <c r="M30" s="726"/>
      <c r="N30" s="726"/>
      <c r="O30" s="726"/>
      <c r="P30" s="62"/>
    </row>
    <row r="31" spans="1:16" ht="18" customHeight="1" x14ac:dyDescent="0.2">
      <c r="A31" s="61"/>
      <c r="B31" s="723"/>
      <c r="C31" s="720" t="s">
        <v>275</v>
      </c>
      <c r="D31" s="720"/>
      <c r="E31" s="720"/>
      <c r="F31" s="720"/>
      <c r="G31" s="720"/>
      <c r="H31" s="720"/>
      <c r="I31" s="720"/>
      <c r="J31" s="727">
        <f>VLOOKUP($C$16,' Datos de Organizadores '!$A$3:$M$10,12)</f>
        <v>44379</v>
      </c>
      <c r="K31" s="727"/>
      <c r="L31" s="728"/>
      <c r="M31" s="715"/>
      <c r="N31" s="716"/>
      <c r="O31" s="717"/>
      <c r="P31" s="62"/>
    </row>
    <row r="32" spans="1:16" ht="18" hidden="1" customHeight="1" x14ac:dyDescent="0.2">
      <c r="A32" s="61"/>
      <c r="B32" s="723"/>
      <c r="C32" s="720"/>
      <c r="D32" s="720"/>
      <c r="E32" s="720"/>
      <c r="F32" s="720"/>
      <c r="G32" s="720"/>
      <c r="H32" s="720"/>
      <c r="I32" s="720"/>
      <c r="J32" s="724">
        <v>0</v>
      </c>
      <c r="K32" s="724"/>
      <c r="L32" s="725"/>
      <c r="M32" s="715"/>
      <c r="N32" s="716"/>
      <c r="O32" s="717"/>
      <c r="P32" s="62"/>
    </row>
    <row r="33" spans="1:16" ht="6.75" customHeight="1" x14ac:dyDescent="0.2">
      <c r="A33" s="61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2"/>
    </row>
    <row r="34" spans="1:16" ht="20.100000000000001" customHeight="1" x14ac:dyDescent="0.2">
      <c r="A34" s="61"/>
      <c r="B34" s="721" t="s">
        <v>51</v>
      </c>
      <c r="C34" s="722"/>
      <c r="D34" s="722"/>
      <c r="E34" s="722"/>
      <c r="F34" s="722"/>
      <c r="G34" s="722"/>
      <c r="H34" s="84" t="s">
        <v>271</v>
      </c>
      <c r="I34" s="713" t="s">
        <v>274</v>
      </c>
      <c r="J34" s="714"/>
      <c r="K34" s="85" t="s">
        <v>273</v>
      </c>
      <c r="L34" s="713" t="s">
        <v>272</v>
      </c>
      <c r="M34" s="714"/>
      <c r="N34" s="714"/>
      <c r="O34" s="714"/>
      <c r="P34" s="62"/>
    </row>
  </sheetData>
  <sheetProtection password="D1E7" sheet="1" objects="1" scenarios="1"/>
  <mergeCells count="39"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E2:O3"/>
    <mergeCell ref="B3:C3"/>
    <mergeCell ref="B5:O5"/>
    <mergeCell ref="D9:N10"/>
    <mergeCell ref="C9:C10"/>
    <mergeCell ref="D7:N8"/>
    <mergeCell ref="C7:C8"/>
  </mergeCells>
  <phoneticPr fontId="24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4"/>
  <sheetViews>
    <sheetView topLeftCell="K1" zoomScale="164" zoomScaleNormal="164" workbookViewId="0">
      <selection activeCell="P6" sqref="P6"/>
    </sheetView>
  </sheetViews>
  <sheetFormatPr baseColWidth="10" defaultRowHeight="12.75" x14ac:dyDescent="0.2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24" customWidth="1"/>
    <col min="8" max="9" width="13.7109375" style="224" customWidth="1"/>
    <col min="10" max="10" width="30.85546875" style="224" customWidth="1"/>
    <col min="11" max="11" width="12.7109375" customWidth="1"/>
    <col min="12" max="12" width="25.42578125" bestFit="1" customWidth="1"/>
    <col min="13" max="13" width="13.28515625" customWidth="1"/>
    <col min="14" max="14" width="12.28515625" bestFit="1" customWidth="1"/>
    <col min="15" max="15" width="5.42578125" bestFit="1" customWidth="1"/>
    <col min="16" max="16" width="16.42578125" style="47" customWidth="1"/>
    <col min="17" max="17" width="11.7109375" style="48" customWidth="1"/>
    <col min="18" max="19" width="11.7109375" style="47" customWidth="1"/>
    <col min="20" max="21" width="11.7109375" customWidth="1"/>
    <col min="22" max="22" width="11.42578125" style="191" customWidth="1"/>
    <col min="23" max="23" width="12.28515625" style="191" bestFit="1" customWidth="1"/>
  </cols>
  <sheetData>
    <row r="1" spans="1:23" ht="30" customHeight="1" x14ac:dyDescent="0.2">
      <c r="A1" s="729" t="s">
        <v>35</v>
      </c>
      <c r="B1" s="729"/>
      <c r="C1" s="729"/>
      <c r="D1" s="729"/>
      <c r="E1" s="729"/>
      <c r="F1" s="729"/>
      <c r="G1" s="729"/>
      <c r="H1" s="729"/>
      <c r="I1" s="729"/>
      <c r="J1" s="729"/>
      <c r="K1" s="730" t="s">
        <v>172</v>
      </c>
      <c r="L1" s="731"/>
      <c r="M1" s="732"/>
      <c r="N1" s="105"/>
      <c r="O1" s="105"/>
    </row>
    <row r="2" spans="1:23" s="3" customFormat="1" ht="18" customHeight="1" x14ac:dyDescent="0.2">
      <c r="A2" s="211" t="s">
        <v>26</v>
      </c>
      <c r="B2" s="211" t="s">
        <v>27</v>
      </c>
      <c r="C2" s="211" t="s">
        <v>28</v>
      </c>
      <c r="D2" s="211" t="s">
        <v>2</v>
      </c>
      <c r="E2" s="211" t="s">
        <v>29</v>
      </c>
      <c r="F2" s="211" t="s">
        <v>22</v>
      </c>
      <c r="G2" s="221" t="s">
        <v>30</v>
      </c>
      <c r="H2" s="221" t="s">
        <v>19</v>
      </c>
      <c r="I2" s="221" t="s">
        <v>24</v>
      </c>
      <c r="J2" s="221" t="s">
        <v>31</v>
      </c>
      <c r="K2" s="211" t="s">
        <v>192</v>
      </c>
      <c r="L2" s="211" t="s">
        <v>193</v>
      </c>
      <c r="M2" s="211" t="s">
        <v>313</v>
      </c>
      <c r="N2" s="106"/>
      <c r="O2" s="106"/>
      <c r="P2" s="49"/>
      <c r="Q2" s="50"/>
      <c r="R2" s="49"/>
      <c r="S2" s="49"/>
      <c r="V2" s="192"/>
      <c r="W2" s="192"/>
    </row>
    <row r="3" spans="1:23" s="210" customFormat="1" ht="15.75" customHeight="1" x14ac:dyDescent="0.25">
      <c r="A3" s="207">
        <v>1</v>
      </c>
      <c r="B3" s="243" t="s">
        <v>387</v>
      </c>
      <c r="C3" s="243" t="s">
        <v>358</v>
      </c>
      <c r="D3" s="243" t="s">
        <v>359</v>
      </c>
      <c r="E3" s="243">
        <v>23680</v>
      </c>
      <c r="F3" s="252" t="s">
        <v>360</v>
      </c>
      <c r="G3" s="243" t="s">
        <v>361</v>
      </c>
      <c r="H3" s="243">
        <v>615050713</v>
      </c>
      <c r="I3" s="243">
        <v>953582704</v>
      </c>
      <c r="J3" s="243" t="s">
        <v>362</v>
      </c>
      <c r="K3" s="258" t="s">
        <v>392</v>
      </c>
      <c r="L3" s="225">
        <v>43595</v>
      </c>
      <c r="M3" s="209">
        <v>195</v>
      </c>
      <c r="N3" s="206"/>
      <c r="O3" s="206"/>
      <c r="P3" s="205">
        <f>' Derechos de Inscripción '!C16</f>
        <v>4</v>
      </c>
      <c r="Q3" s="205" t="s">
        <v>40</v>
      </c>
      <c r="R3" s="205"/>
      <c r="S3" s="205"/>
    </row>
    <row r="4" spans="1:23" s="210" customFormat="1" ht="15.75" customHeight="1" x14ac:dyDescent="0.25">
      <c r="A4" s="207">
        <v>2</v>
      </c>
      <c r="B4" s="252" t="s">
        <v>388</v>
      </c>
      <c r="C4" s="252" t="s">
        <v>363</v>
      </c>
      <c r="D4" s="253" t="s">
        <v>419</v>
      </c>
      <c r="E4" s="254" t="s">
        <v>364</v>
      </c>
      <c r="F4" s="252" t="s">
        <v>365</v>
      </c>
      <c r="G4" s="252" t="s">
        <v>320</v>
      </c>
      <c r="H4" s="259">
        <v>671885076</v>
      </c>
      <c r="I4" s="252"/>
      <c r="J4" s="256" t="s">
        <v>366</v>
      </c>
      <c r="K4" s="258" t="s">
        <v>393</v>
      </c>
      <c r="L4" s="226">
        <v>43609</v>
      </c>
      <c r="M4" s="209">
        <v>195</v>
      </c>
      <c r="N4" s="206"/>
      <c r="O4" s="206"/>
      <c r="P4" s="207">
        <v>1</v>
      </c>
      <c r="Q4" s="205" t="s">
        <v>41</v>
      </c>
      <c r="R4" s="205">
        <v>0</v>
      </c>
      <c r="S4" s="205"/>
      <c r="T4" s="210" t="str">
        <f>IF(Blanco=TRUE,"¡¡¡ ATENCIÓN !!! DATOS OCULTOS","ESTADO NORMAL (Todos los datos visibles)")</f>
        <v>ESTADO NORMAL (Todos los datos visibles)</v>
      </c>
    </row>
    <row r="5" spans="1:23" s="210" customFormat="1" ht="15.75" customHeight="1" x14ac:dyDescent="0.25">
      <c r="A5" s="207">
        <v>3</v>
      </c>
      <c r="B5" s="243" t="s">
        <v>389</v>
      </c>
      <c r="C5" s="243" t="s">
        <v>368</v>
      </c>
      <c r="D5" s="243" t="s">
        <v>369</v>
      </c>
      <c r="E5" s="243">
        <v>29566</v>
      </c>
      <c r="F5" s="243" t="s">
        <v>370</v>
      </c>
      <c r="G5" s="243" t="s">
        <v>367</v>
      </c>
      <c r="H5" s="243" t="s">
        <v>371</v>
      </c>
      <c r="I5" s="243"/>
      <c r="J5" s="239" t="s">
        <v>372</v>
      </c>
      <c r="K5" s="257" t="s">
        <v>394</v>
      </c>
      <c r="L5" s="225">
        <v>43637</v>
      </c>
      <c r="M5" s="209">
        <v>195</v>
      </c>
      <c r="N5" s="206"/>
      <c r="O5" s="206"/>
      <c r="P5" s="205" t="b">
        <v>0</v>
      </c>
      <c r="Q5" s="205" t="s">
        <v>37</v>
      </c>
      <c r="R5" s="205" t="b">
        <f>IF(Blanco=TRUE,FALSE,IF(Shakedown=TRUE,#N/A,FALSE))</f>
        <v>0</v>
      </c>
      <c r="S5" s="276"/>
      <c r="T5" s="210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10" customFormat="1" ht="15.75" customHeight="1" x14ac:dyDescent="0.25">
      <c r="A6" s="207">
        <v>4</v>
      </c>
      <c r="B6" s="252" t="s">
        <v>420</v>
      </c>
      <c r="C6" s="252" t="s">
        <v>373</v>
      </c>
      <c r="D6" s="253" t="s">
        <v>374</v>
      </c>
      <c r="E6" s="254" t="s">
        <v>375</v>
      </c>
      <c r="F6" s="252" t="s">
        <v>376</v>
      </c>
      <c r="G6" s="252" t="s">
        <v>319</v>
      </c>
      <c r="H6" s="253" t="s">
        <v>377</v>
      </c>
      <c r="I6" s="255"/>
      <c r="J6" s="239" t="s">
        <v>418</v>
      </c>
      <c r="K6" s="258" t="s">
        <v>421</v>
      </c>
      <c r="L6" s="226">
        <v>44379</v>
      </c>
      <c r="M6" s="209">
        <v>195</v>
      </c>
      <c r="N6" s="206"/>
      <c r="O6" s="206"/>
      <c r="P6" s="205"/>
      <c r="Q6" s="205"/>
      <c r="R6" s="205"/>
      <c r="S6" s="205"/>
    </row>
    <row r="7" spans="1:23" s="210" customFormat="1" ht="15.75" customHeight="1" x14ac:dyDescent="0.25">
      <c r="A7" s="207">
        <v>5</v>
      </c>
      <c r="B7" s="243" t="s">
        <v>390</v>
      </c>
      <c r="C7" s="263" t="s">
        <v>378</v>
      </c>
      <c r="D7" s="263" t="s">
        <v>379</v>
      </c>
      <c r="E7" s="263">
        <v>4700</v>
      </c>
      <c r="F7" s="263" t="s">
        <v>380</v>
      </c>
      <c r="G7" s="263" t="s">
        <v>216</v>
      </c>
      <c r="H7" s="263">
        <v>606430525</v>
      </c>
      <c r="I7" s="263"/>
      <c r="J7" s="264" t="s">
        <v>381</v>
      </c>
      <c r="K7" s="258" t="s">
        <v>395</v>
      </c>
      <c r="L7" s="226">
        <v>43721</v>
      </c>
      <c r="M7" s="209">
        <v>195</v>
      </c>
      <c r="N7" s="206"/>
      <c r="O7" s="206"/>
      <c r="P7" s="205" t="b">
        <v>0</v>
      </c>
      <c r="Q7" s="205" t="s">
        <v>38</v>
      </c>
      <c r="R7" s="205" t="b">
        <f>IF(Blanco=TRUE,FALSE,IF(Ouvreur=TRUE,#N/A,FALSE))</f>
        <v>0</v>
      </c>
      <c r="S7" s="205"/>
    </row>
    <row r="8" spans="1:23" s="210" customFormat="1" ht="15.75" customHeight="1" x14ac:dyDescent="0.25">
      <c r="A8" s="207">
        <v>6</v>
      </c>
      <c r="B8" s="252" t="s">
        <v>391</v>
      </c>
      <c r="C8" s="252" t="s">
        <v>382</v>
      </c>
      <c r="D8" s="252" t="s">
        <v>383</v>
      </c>
      <c r="E8" s="265" t="s">
        <v>384</v>
      </c>
      <c r="F8" s="252" t="s">
        <v>385</v>
      </c>
      <c r="G8" s="252" t="s">
        <v>216</v>
      </c>
      <c r="H8" s="265">
        <v>678313106</v>
      </c>
      <c r="I8" s="265"/>
      <c r="J8" s="256" t="s">
        <v>386</v>
      </c>
      <c r="K8" s="258" t="s">
        <v>396</v>
      </c>
      <c r="L8" s="225">
        <v>43756</v>
      </c>
      <c r="M8" s="209">
        <v>195</v>
      </c>
      <c r="N8" s="206"/>
      <c r="O8" s="206"/>
      <c r="P8" s="205" t="b">
        <v>0</v>
      </c>
      <c r="Q8" s="205" t="s">
        <v>39</v>
      </c>
      <c r="R8" s="205" t="b">
        <f>IF(Blanco=TRUE,FALSE,IF(Auxiliar=TRUE,#N/A,FALSE))</f>
        <v>0</v>
      </c>
      <c r="S8" s="205"/>
    </row>
    <row r="9" spans="1:23" s="210" customFormat="1" ht="15.75" customHeight="1" x14ac:dyDescent="0.2">
      <c r="A9" s="207">
        <v>7</v>
      </c>
      <c r="M9" s="209">
        <v>195</v>
      </c>
      <c r="N9" s="208"/>
      <c r="O9" s="208"/>
      <c r="P9" s="205" t="b">
        <v>0</v>
      </c>
      <c r="Q9" s="205" t="s">
        <v>235</v>
      </c>
      <c r="R9" s="205" t="b">
        <f>IF(Blanco=TRUE,FALSE,IF(Trofeo7=TRUE,#N/A,FALSE))</f>
        <v>0</v>
      </c>
      <c r="S9" s="205"/>
    </row>
    <row r="10" spans="1:23" s="210" customFormat="1" ht="15.75" customHeight="1" x14ac:dyDescent="0.25">
      <c r="A10" s="207">
        <v>8</v>
      </c>
      <c r="B10" s="252"/>
      <c r="C10" s="252"/>
      <c r="D10" s="253"/>
      <c r="E10" s="254"/>
      <c r="F10" s="252"/>
      <c r="G10" s="252"/>
      <c r="H10" s="253"/>
      <c r="I10" s="255"/>
      <c r="J10" s="256"/>
      <c r="K10" s="258"/>
      <c r="L10" s="225"/>
      <c r="M10" s="209">
        <v>195</v>
      </c>
      <c r="N10" s="208"/>
      <c r="O10" s="208"/>
      <c r="P10" s="205" t="b">
        <v>1</v>
      </c>
      <c r="Q10" s="205" t="s">
        <v>236</v>
      </c>
      <c r="R10" s="205" t="e">
        <f>IF(Blanco=TRUE,FALSE,IF(Trofeo8=TRUE,#N/A,FALSE))</f>
        <v>#N/A</v>
      </c>
      <c r="S10" s="205"/>
    </row>
    <row r="11" spans="1:23" s="195" customFormat="1" ht="15.75" customHeight="1" x14ac:dyDescent="0.2">
      <c r="A11" s="207">
        <v>9</v>
      </c>
      <c r="M11" s="209">
        <v>195</v>
      </c>
      <c r="N11" s="86"/>
      <c r="O11" s="86"/>
      <c r="P11" s="203" t="b">
        <v>0</v>
      </c>
      <c r="Q11" s="202" t="s">
        <v>169</v>
      </c>
      <c r="R11" s="203" t="b">
        <f>IF(Blanco=TRUE,FALSE,IF(Trofeo9=TRUE,#N/A,FALSE))</f>
        <v>0</v>
      </c>
      <c r="S11" s="203"/>
      <c r="V11" s="204"/>
      <c r="W11" s="204"/>
    </row>
    <row r="12" spans="1:23" ht="15.75" customHeight="1" x14ac:dyDescent="0.25">
      <c r="A12" s="207">
        <v>10</v>
      </c>
      <c r="B12" s="243"/>
      <c r="C12" s="252"/>
      <c r="D12" s="253"/>
      <c r="E12" s="254"/>
      <c r="F12" s="252"/>
      <c r="G12" s="252"/>
      <c r="H12" s="253"/>
      <c r="I12" s="255"/>
      <c r="J12" s="256"/>
      <c r="K12" s="258"/>
      <c r="L12" s="225"/>
      <c r="M12" s="209">
        <v>195</v>
      </c>
      <c r="N12" s="86"/>
      <c r="O12" s="86"/>
      <c r="P12" s="47" t="b">
        <v>0</v>
      </c>
      <c r="Q12" s="48" t="s">
        <v>170</v>
      </c>
      <c r="R12" s="47" t="b">
        <f>IF(Blanco=TRUE,FALSE,IF(Trofeo10=TRUE,#N/A,FALSE))</f>
        <v>0</v>
      </c>
    </row>
    <row r="13" spans="1:23" ht="15" x14ac:dyDescent="0.25">
      <c r="A13" s="207">
        <v>11</v>
      </c>
      <c r="B13" s="252"/>
      <c r="C13" s="252"/>
      <c r="D13" s="266"/>
      <c r="E13" s="254"/>
      <c r="F13" s="252"/>
      <c r="G13" s="252"/>
      <c r="H13" s="266"/>
      <c r="I13" s="255"/>
      <c r="J13" s="267"/>
      <c r="K13" s="258"/>
      <c r="L13" s="225"/>
      <c r="M13" s="209">
        <v>195</v>
      </c>
      <c r="P13" s="47" t="b">
        <v>0</v>
      </c>
      <c r="Q13" s="48" t="s">
        <v>42</v>
      </c>
      <c r="R13" s="47" t="b">
        <f>IF(Blanco=TRUE,FALSE,IF(España=TRUE,#N/A,FALSE))</f>
        <v>0</v>
      </c>
    </row>
    <row r="14" spans="1:23" x14ac:dyDescent="0.2">
      <c r="L14" s="120"/>
      <c r="M14" s="210"/>
      <c r="P14" s="47" t="b">
        <v>0</v>
      </c>
      <c r="Q14" s="48" t="s">
        <v>43</v>
      </c>
      <c r="R14" s="47" t="b">
        <f>IF(Blanco=TRUE,FALSE,IF(Autonomico=TRUE,#N/A,FALSE))</f>
        <v>0</v>
      </c>
    </row>
    <row r="15" spans="1:23" x14ac:dyDescent="0.2">
      <c r="L15" s="120"/>
      <c r="P15" s="47" t="b">
        <v>0</v>
      </c>
      <c r="Q15" s="48" t="s">
        <v>44</v>
      </c>
      <c r="R15" s="47" t="b">
        <f>IF(Blanco=TRUE,FALSE,IF(Clasicos=TRUE,#N/A,FALSE))</f>
        <v>0</v>
      </c>
    </row>
    <row r="16" spans="1:23" x14ac:dyDescent="0.2">
      <c r="P16" s="119" t="b">
        <v>0</v>
      </c>
      <c r="Q16" s="48" t="s">
        <v>56</v>
      </c>
    </row>
    <row r="17" spans="2:24" x14ac:dyDescent="0.2">
      <c r="P17" s="47" t="b">
        <v>0</v>
      </c>
      <c r="Q17" s="48" t="s">
        <v>171</v>
      </c>
      <c r="R17" s="47" t="str">
        <f>IF(IVA=TRUE,16/100,"")</f>
        <v/>
      </c>
    </row>
    <row r="18" spans="2:24" x14ac:dyDescent="0.2">
      <c r="P18" s="47">
        <v>2</v>
      </c>
      <c r="Q18" s="48" t="s">
        <v>45</v>
      </c>
    </row>
    <row r="20" spans="2:24" ht="15" x14ac:dyDescent="0.25">
      <c r="B20" s="213"/>
      <c r="C20" s="214"/>
      <c r="D20" s="218"/>
      <c r="E20" s="215"/>
      <c r="F20" s="214"/>
      <c r="G20" s="214"/>
      <c r="H20" s="218"/>
      <c r="I20" s="216"/>
      <c r="J20" s="219"/>
      <c r="P20" s="47">
        <v>1</v>
      </c>
      <c r="Q20" s="48">
        <v>1</v>
      </c>
      <c r="R20" s="47" t="s">
        <v>198</v>
      </c>
      <c r="T20" t="s">
        <v>203</v>
      </c>
    </row>
    <row r="21" spans="2:24" ht="15" x14ac:dyDescent="0.25">
      <c r="B21" s="213"/>
      <c r="C21" s="241"/>
      <c r="D21" s="222"/>
      <c r="E21" s="222"/>
      <c r="F21" s="222"/>
      <c r="G21" s="222"/>
      <c r="H21" s="222"/>
      <c r="I21" s="222"/>
      <c r="J21" s="222"/>
      <c r="Q21" s="48">
        <v>2</v>
      </c>
      <c r="R21" s="47" t="s">
        <v>199</v>
      </c>
      <c r="T21" t="s">
        <v>204</v>
      </c>
    </row>
    <row r="22" spans="2:24" ht="15" x14ac:dyDescent="0.25">
      <c r="B22" s="213"/>
      <c r="C22" s="214"/>
      <c r="D22" s="214"/>
      <c r="E22" s="215"/>
      <c r="F22" s="214"/>
      <c r="G22" s="214"/>
      <c r="H22" s="213"/>
      <c r="I22" s="217"/>
      <c r="J22" s="223"/>
      <c r="Q22" s="48">
        <v>3</v>
      </c>
      <c r="R22" s="47" t="s">
        <v>200</v>
      </c>
      <c r="T22" t="s">
        <v>205</v>
      </c>
    </row>
    <row r="23" spans="2:24" ht="15" x14ac:dyDescent="0.25">
      <c r="B23" s="213"/>
      <c r="C23" s="214"/>
      <c r="D23" s="214"/>
      <c r="E23" s="215"/>
      <c r="F23" s="214"/>
      <c r="G23" s="214"/>
      <c r="H23" s="213"/>
      <c r="I23" s="217"/>
      <c r="J23" s="240"/>
      <c r="Q23" s="48">
        <v>4</v>
      </c>
      <c r="R23" s="47" t="s">
        <v>201</v>
      </c>
      <c r="T23" t="s">
        <v>206</v>
      </c>
    </row>
    <row r="24" spans="2:24" ht="15" x14ac:dyDescent="0.25">
      <c r="B24" s="242"/>
      <c r="C24" s="214"/>
      <c r="D24" s="214"/>
      <c r="E24" s="215"/>
      <c r="F24" s="214"/>
      <c r="G24" s="214"/>
      <c r="H24" s="218"/>
      <c r="I24" s="217"/>
      <c r="J24" s="220"/>
      <c r="M24" s="123" t="b">
        <v>0</v>
      </c>
      <c r="Q24" s="48">
        <v>5</v>
      </c>
      <c r="R24" s="47" t="s">
        <v>202</v>
      </c>
      <c r="T24" t="s">
        <v>207</v>
      </c>
    </row>
    <row r="25" spans="2:24" ht="15" x14ac:dyDescent="0.25">
      <c r="B25" s="242"/>
      <c r="C25" s="214"/>
      <c r="D25" s="218"/>
      <c r="E25" s="215"/>
      <c r="F25" s="214"/>
      <c r="G25" s="214"/>
      <c r="H25" s="218"/>
      <c r="I25" s="216"/>
      <c r="J25" s="219"/>
    </row>
    <row r="26" spans="2:24" ht="15" x14ac:dyDescent="0.25">
      <c r="B26" s="252"/>
      <c r="C26" s="252"/>
      <c r="D26" s="253"/>
      <c r="E26" s="254"/>
      <c r="F26" s="252"/>
      <c r="G26" s="252"/>
      <c r="H26" s="253"/>
      <c r="I26" s="255"/>
      <c r="J26" s="256"/>
      <c r="K26" s="257"/>
    </row>
    <row r="27" spans="2:24" ht="15" x14ac:dyDescent="0.25">
      <c r="B27" s="243"/>
      <c r="C27" s="243"/>
      <c r="D27" s="243"/>
      <c r="E27" s="243"/>
      <c r="F27" s="252"/>
      <c r="G27" s="243"/>
      <c r="H27" s="243"/>
      <c r="I27" s="243"/>
      <c r="J27" s="243"/>
      <c r="K27" s="258"/>
      <c r="N27" s="112">
        <v>2</v>
      </c>
      <c r="O27" s="112" t="s">
        <v>221</v>
      </c>
      <c r="P27" s="112"/>
    </row>
    <row r="28" spans="2:24" ht="15" x14ac:dyDescent="0.25">
      <c r="B28" s="252"/>
      <c r="C28" s="252"/>
      <c r="D28" s="253"/>
      <c r="E28" s="254"/>
      <c r="F28" s="252"/>
      <c r="G28" s="252"/>
      <c r="H28" s="259"/>
      <c r="I28" s="252"/>
      <c r="J28" s="256"/>
      <c r="K28" s="258"/>
      <c r="L28" s="226"/>
      <c r="M28" s="209"/>
      <c r="N28" s="121"/>
      <c r="O28" s="118"/>
      <c r="P28" s="121"/>
    </row>
    <row r="29" spans="2:24" ht="15" x14ac:dyDescent="0.25">
      <c r="B29" s="252"/>
      <c r="C29" s="252"/>
      <c r="D29" s="252"/>
      <c r="E29" s="254"/>
      <c r="F29" s="252"/>
      <c r="G29" s="252"/>
      <c r="H29" s="260"/>
      <c r="I29" s="255"/>
      <c r="J29" s="239"/>
      <c r="K29" s="258"/>
      <c r="N29" s="121"/>
      <c r="O29" s="118"/>
      <c r="P29" s="121"/>
      <c r="V29" s="193" t="s">
        <v>290</v>
      </c>
      <c r="W29" s="130">
        <v>1</v>
      </c>
      <c r="X29" s="133"/>
    </row>
    <row r="30" spans="2:24" ht="15" x14ac:dyDescent="0.2">
      <c r="B30" s="243"/>
      <c r="C30" s="243"/>
      <c r="D30" s="243"/>
      <c r="E30" s="243"/>
      <c r="F30" s="243"/>
      <c r="G30" s="243"/>
      <c r="H30" s="243"/>
      <c r="I30" s="243"/>
      <c r="J30" s="239"/>
      <c r="K30" s="257"/>
      <c r="P30" s="113" t="s">
        <v>14</v>
      </c>
      <c r="Q30" s="197" t="s">
        <v>14</v>
      </c>
      <c r="V30" s="133">
        <v>1</v>
      </c>
      <c r="W30" s="249" t="s">
        <v>302</v>
      </c>
      <c r="X30" s="130"/>
    </row>
    <row r="31" spans="2:24" ht="15" x14ac:dyDescent="0.25">
      <c r="B31" s="252"/>
      <c r="C31" s="252"/>
      <c r="D31" s="253"/>
      <c r="E31" s="254"/>
      <c r="F31" s="252"/>
      <c r="G31" s="252"/>
      <c r="H31" s="253"/>
      <c r="I31" s="255"/>
      <c r="J31" s="261"/>
      <c r="K31" s="258"/>
      <c r="L31" s="226"/>
      <c r="M31" s="209"/>
      <c r="P31" s="117">
        <v>1</v>
      </c>
      <c r="Q31" s="198" t="str">
        <f>VLOOKUP(P31,K41:M60,3)</f>
        <v xml:space="preserve"> </v>
      </c>
      <c r="V31" s="133">
        <v>2</v>
      </c>
      <c r="W31" s="133" t="s">
        <v>292</v>
      </c>
      <c r="X31" s="133" t="s">
        <v>214</v>
      </c>
    </row>
    <row r="32" spans="2:24" ht="15" x14ac:dyDescent="0.25">
      <c r="B32" s="252"/>
      <c r="C32" s="252"/>
      <c r="D32" s="252"/>
      <c r="E32" s="254"/>
      <c r="F32" s="252"/>
      <c r="G32" s="252"/>
      <c r="H32" s="262"/>
      <c r="I32" s="262"/>
      <c r="J32" s="256"/>
      <c r="K32" s="258"/>
      <c r="P32" s="196" t="s">
        <v>283</v>
      </c>
      <c r="V32" s="133">
        <v>3</v>
      </c>
      <c r="W32" s="133" t="s">
        <v>293</v>
      </c>
      <c r="X32" s="133" t="s">
        <v>213</v>
      </c>
    </row>
    <row r="33" spans="2:24" ht="15" x14ac:dyDescent="0.25">
      <c r="B33" s="243"/>
      <c r="C33" s="263"/>
      <c r="D33" s="263"/>
      <c r="E33" s="263"/>
      <c r="F33" s="263"/>
      <c r="G33" s="263"/>
      <c r="H33" s="263"/>
      <c r="I33" s="263"/>
      <c r="J33" s="264"/>
      <c r="K33" s="258"/>
      <c r="L33" s="225"/>
      <c r="M33" s="210"/>
      <c r="P33" s="196">
        <f>VLOOKUP(P31,K41:O60,4)</f>
        <v>0</v>
      </c>
      <c r="V33" s="133">
        <v>4</v>
      </c>
      <c r="W33" s="133" t="s">
        <v>294</v>
      </c>
      <c r="X33" s="133" t="s">
        <v>288</v>
      </c>
    </row>
    <row r="34" spans="2:24" ht="15" x14ac:dyDescent="0.25">
      <c r="B34" s="252"/>
      <c r="C34" s="252"/>
      <c r="D34" s="253"/>
      <c r="E34" s="254"/>
      <c r="F34" s="252"/>
      <c r="G34" s="252"/>
      <c r="H34" s="253"/>
      <c r="I34" s="255"/>
      <c r="J34" s="256"/>
      <c r="K34" s="258"/>
      <c r="P34" s="129" t="s">
        <v>308</v>
      </c>
      <c r="V34" s="133">
        <v>5</v>
      </c>
      <c r="W34" s="133" t="s">
        <v>295</v>
      </c>
      <c r="X34" s="133" t="s">
        <v>289</v>
      </c>
    </row>
    <row r="35" spans="2:24" ht="15" x14ac:dyDescent="0.25">
      <c r="B35" s="252"/>
      <c r="C35" s="252"/>
      <c r="D35" s="252"/>
      <c r="E35" s="265"/>
      <c r="F35" s="252"/>
      <c r="G35" s="252"/>
      <c r="H35" s="265"/>
      <c r="I35" s="265"/>
      <c r="J35" s="256"/>
      <c r="K35" s="258"/>
      <c r="P35" s="133">
        <f>IF(cc&lt;=1400,1,IF(cc&lt;=1600,2,IF(cc&lt;=2000,3,IF(cc&lt;=3500,4,5))))</f>
        <v>1</v>
      </c>
      <c r="V35" s="133">
        <v>6</v>
      </c>
      <c r="W35" s="133" t="s">
        <v>296</v>
      </c>
      <c r="X35" s="133" t="s">
        <v>203</v>
      </c>
    </row>
    <row r="36" spans="2:24" ht="15" x14ac:dyDescent="0.25">
      <c r="B36" s="243"/>
      <c r="C36" s="252"/>
      <c r="D36" s="253"/>
      <c r="E36" s="254"/>
      <c r="F36" s="252"/>
      <c r="G36" s="252"/>
      <c r="H36" s="253"/>
      <c r="I36" s="255"/>
      <c r="J36" s="256"/>
      <c r="K36" s="258"/>
      <c r="P36" s="129" t="s">
        <v>309</v>
      </c>
      <c r="V36" s="133">
        <v>7</v>
      </c>
      <c r="W36" s="133" t="s">
        <v>297</v>
      </c>
      <c r="X36" s="133" t="s">
        <v>204</v>
      </c>
    </row>
    <row r="37" spans="2:24" ht="15" x14ac:dyDescent="0.25">
      <c r="B37" s="252"/>
      <c r="C37" s="252"/>
      <c r="D37" s="266"/>
      <c r="E37" s="254"/>
      <c r="F37" s="252"/>
      <c r="G37" s="252"/>
      <c r="H37" s="266"/>
      <c r="I37" s="255"/>
      <c r="J37" s="267"/>
      <c r="K37" s="258"/>
      <c r="P37" s="133">
        <f>IF(AGRUP="AGRUPACIÓN I",IF(cc&lt;=1400,1,2),IF(AGRUP="AGRUPACIÓN III",IF(cc&lt;=2000,1,2),DIVISION))</f>
        <v>1</v>
      </c>
      <c r="V37" s="133">
        <v>8</v>
      </c>
      <c r="W37" s="133" t="s">
        <v>298</v>
      </c>
      <c r="X37" s="133" t="s">
        <v>206</v>
      </c>
    </row>
    <row r="38" spans="2:24" x14ac:dyDescent="0.2">
      <c r="P38" s="133" t="s">
        <v>229</v>
      </c>
      <c r="T38" s="83"/>
      <c r="V38" s="133">
        <v>9</v>
      </c>
      <c r="W38" s="133" t="s">
        <v>299</v>
      </c>
      <c r="X38" s="133" t="s">
        <v>222</v>
      </c>
    </row>
    <row r="39" spans="2:24" x14ac:dyDescent="0.2">
      <c r="P39" s="133" t="str">
        <f>IF(P33=0,"",IF(P33="AGRUPACIÓN II",VLOOKUP(P33,$P$41:$U$55,MATCH(DIVISION,$P$40:$U$40,0),0),VLOOKUP(P33,$P$41:$U$55,MATCH(DHF,$P$40:$U$40,0),0)))</f>
        <v/>
      </c>
      <c r="Q39" s="250">
        <v>1400</v>
      </c>
      <c r="R39" s="192">
        <v>1600</v>
      </c>
      <c r="S39" s="192">
        <v>2000</v>
      </c>
      <c r="T39" s="192">
        <v>3500</v>
      </c>
      <c r="U39" s="251" t="s">
        <v>352</v>
      </c>
      <c r="V39" s="133">
        <v>10</v>
      </c>
      <c r="W39" s="133" t="s">
        <v>300</v>
      </c>
      <c r="X39" s="133" t="s">
        <v>223</v>
      </c>
    </row>
    <row r="40" spans="2:24" x14ac:dyDescent="0.2">
      <c r="K40" s="131"/>
      <c r="L40" s="132" t="s">
        <v>14</v>
      </c>
      <c r="M40" s="132"/>
      <c r="N40" s="47"/>
      <c r="P40" s="269"/>
      <c r="Q40" s="270">
        <v>1</v>
      </c>
      <c r="R40" s="270">
        <v>2</v>
      </c>
      <c r="S40" s="270">
        <v>3</v>
      </c>
      <c r="T40" s="271">
        <v>4</v>
      </c>
      <c r="U40" s="271">
        <v>5</v>
      </c>
    </row>
    <row r="41" spans="2:24" x14ac:dyDescent="0.2">
      <c r="K41" s="131">
        <v>1</v>
      </c>
      <c r="L41" s="132" t="s">
        <v>417</v>
      </c>
      <c r="M41" s="132" t="s">
        <v>36</v>
      </c>
      <c r="N41" s="83"/>
      <c r="P41" s="272" t="s">
        <v>232</v>
      </c>
      <c r="Q41" s="269" t="s">
        <v>203</v>
      </c>
      <c r="R41" s="269" t="s">
        <v>204</v>
      </c>
      <c r="S41" s="269" t="s">
        <v>204</v>
      </c>
      <c r="T41" s="273" t="s">
        <v>204</v>
      </c>
      <c r="U41" s="273" t="s">
        <v>204</v>
      </c>
    </row>
    <row r="42" spans="2:24" x14ac:dyDescent="0.2">
      <c r="K42" s="131">
        <v>2</v>
      </c>
      <c r="L42" s="132"/>
      <c r="M42" s="132"/>
      <c r="N42" s="151"/>
      <c r="O42" s="151"/>
      <c r="P42" s="272" t="s">
        <v>233</v>
      </c>
      <c r="Q42" s="269"/>
      <c r="R42" s="269"/>
      <c r="S42" s="269" t="s">
        <v>206</v>
      </c>
      <c r="T42" s="273" t="s">
        <v>222</v>
      </c>
      <c r="U42" s="273" t="s">
        <v>222</v>
      </c>
    </row>
    <row r="43" spans="2:24" x14ac:dyDescent="0.2">
      <c r="K43" s="131">
        <v>3</v>
      </c>
      <c r="L43" s="132"/>
      <c r="M43" s="132"/>
      <c r="N43" s="151"/>
      <c r="O43" s="151"/>
      <c r="P43" s="272" t="s">
        <v>234</v>
      </c>
      <c r="Q43" s="274"/>
      <c r="R43" s="274"/>
      <c r="S43" s="269"/>
      <c r="T43" s="269" t="s">
        <v>223</v>
      </c>
      <c r="U43" s="269" t="s">
        <v>223</v>
      </c>
    </row>
    <row r="44" spans="2:24" x14ac:dyDescent="0.2">
      <c r="K44" s="131">
        <v>4</v>
      </c>
      <c r="L44" s="132"/>
      <c r="M44" s="132"/>
      <c r="N44" s="151"/>
      <c r="O44" s="151"/>
      <c r="P44" s="272" t="s">
        <v>306</v>
      </c>
      <c r="Q44" s="274" t="s">
        <v>224</v>
      </c>
      <c r="R44" s="274" t="s">
        <v>224</v>
      </c>
      <c r="S44" s="274" t="s">
        <v>225</v>
      </c>
      <c r="T44" s="274" t="s">
        <v>225</v>
      </c>
      <c r="U44" s="274" t="s">
        <v>225</v>
      </c>
    </row>
    <row r="45" spans="2:24" x14ac:dyDescent="0.2">
      <c r="K45" s="131">
        <v>5</v>
      </c>
      <c r="L45" s="132"/>
      <c r="M45" s="132"/>
      <c r="N45" s="151"/>
      <c r="O45" s="151"/>
      <c r="P45" s="272" t="s">
        <v>307</v>
      </c>
      <c r="Q45" s="274" t="s">
        <v>226</v>
      </c>
      <c r="R45" s="274" t="s">
        <v>226</v>
      </c>
      <c r="S45" s="274" t="s">
        <v>226</v>
      </c>
      <c r="T45" s="274" t="s">
        <v>227</v>
      </c>
      <c r="U45" s="274" t="s">
        <v>227</v>
      </c>
    </row>
    <row r="46" spans="2:24" x14ac:dyDescent="0.2">
      <c r="K46" s="131">
        <v>6</v>
      </c>
      <c r="L46" s="132"/>
      <c r="M46" s="132"/>
      <c r="N46" s="151"/>
      <c r="O46" s="151"/>
      <c r="P46" s="272" t="s">
        <v>326</v>
      </c>
      <c r="Q46" s="274" t="s">
        <v>228</v>
      </c>
      <c r="R46" s="274" t="s">
        <v>228</v>
      </c>
      <c r="S46" s="274" t="s">
        <v>228</v>
      </c>
      <c r="T46" s="274" t="s">
        <v>228</v>
      </c>
      <c r="U46" s="274" t="s">
        <v>228</v>
      </c>
    </row>
    <row r="47" spans="2:24" x14ac:dyDescent="0.2">
      <c r="K47" s="131">
        <v>7</v>
      </c>
      <c r="L47" s="132"/>
      <c r="M47" s="132"/>
      <c r="N47" s="151"/>
      <c r="O47" s="151"/>
      <c r="P47" s="272" t="s">
        <v>397</v>
      </c>
      <c r="Q47" s="274" t="s">
        <v>327</v>
      </c>
      <c r="R47" s="274" t="s">
        <v>327</v>
      </c>
      <c r="S47" s="274" t="s">
        <v>327</v>
      </c>
      <c r="T47" s="274" t="s">
        <v>327</v>
      </c>
      <c r="U47" s="274" t="s">
        <v>327</v>
      </c>
    </row>
    <row r="48" spans="2:24" x14ac:dyDescent="0.2">
      <c r="K48" s="131">
        <v>8</v>
      </c>
      <c r="L48" s="132"/>
      <c r="M48" s="132"/>
      <c r="N48" s="151"/>
      <c r="O48" s="151"/>
      <c r="P48" s="272" t="s">
        <v>398</v>
      </c>
      <c r="Q48" s="274" t="s">
        <v>353</v>
      </c>
      <c r="R48" s="274" t="s">
        <v>353</v>
      </c>
      <c r="S48" s="274" t="s">
        <v>353</v>
      </c>
      <c r="T48" s="274" t="s">
        <v>353</v>
      </c>
      <c r="U48" s="274" t="s">
        <v>353</v>
      </c>
    </row>
    <row r="49" spans="11:22" x14ac:dyDescent="0.2">
      <c r="K49" s="131">
        <v>9</v>
      </c>
      <c r="L49" s="132"/>
      <c r="M49" s="132"/>
      <c r="N49" s="151"/>
      <c r="O49" s="151"/>
      <c r="P49" s="272" t="s">
        <v>399</v>
      </c>
      <c r="Q49" s="274" t="s">
        <v>354</v>
      </c>
      <c r="R49" s="274" t="s">
        <v>355</v>
      </c>
      <c r="S49" s="269"/>
      <c r="T49" s="269"/>
      <c r="U49" s="269"/>
    </row>
    <row r="50" spans="11:22" x14ac:dyDescent="0.2">
      <c r="K50" s="131">
        <v>10</v>
      </c>
      <c r="L50" s="132"/>
      <c r="M50" s="132"/>
      <c r="N50" s="151"/>
      <c r="O50" s="151"/>
      <c r="P50" s="272" t="s">
        <v>400</v>
      </c>
      <c r="Q50" s="273" t="s">
        <v>414</v>
      </c>
      <c r="R50" s="273" t="s">
        <v>414</v>
      </c>
      <c r="S50" s="273" t="s">
        <v>414</v>
      </c>
      <c r="T50" s="269"/>
      <c r="U50" s="269"/>
    </row>
    <row r="51" spans="11:22" x14ac:dyDescent="0.2">
      <c r="K51" s="131">
        <v>11</v>
      </c>
      <c r="L51" s="132"/>
      <c r="M51" s="132"/>
      <c r="N51" s="268"/>
      <c r="O51" s="151"/>
      <c r="P51" s="275" t="s">
        <v>401</v>
      </c>
      <c r="Q51" s="273" t="s">
        <v>406</v>
      </c>
      <c r="R51" s="273" t="s">
        <v>407</v>
      </c>
      <c r="S51" s="269" t="s">
        <v>408</v>
      </c>
      <c r="T51" s="269" t="s">
        <v>409</v>
      </c>
      <c r="U51" s="269" t="s">
        <v>409</v>
      </c>
    </row>
    <row r="52" spans="11:22" x14ac:dyDescent="0.2">
      <c r="K52" s="131">
        <v>12</v>
      </c>
      <c r="L52" s="132"/>
      <c r="M52" s="132"/>
      <c r="N52" s="151"/>
      <c r="O52" s="151"/>
      <c r="P52" s="275" t="s">
        <v>402</v>
      </c>
      <c r="Q52" s="273" t="s">
        <v>413</v>
      </c>
      <c r="R52" s="273" t="s">
        <v>413</v>
      </c>
      <c r="S52" s="273" t="s">
        <v>413</v>
      </c>
      <c r="T52" s="273" t="s">
        <v>413</v>
      </c>
      <c r="U52" s="273" t="s">
        <v>413</v>
      </c>
    </row>
    <row r="53" spans="11:22" x14ac:dyDescent="0.2">
      <c r="K53" s="131">
        <v>13</v>
      </c>
      <c r="L53" s="132"/>
      <c r="M53" s="132"/>
      <c r="N53" s="151"/>
      <c r="O53" s="151"/>
      <c r="P53" s="275" t="s">
        <v>410</v>
      </c>
      <c r="Q53" s="273" t="s">
        <v>411</v>
      </c>
      <c r="R53" s="273" t="s">
        <v>411</v>
      </c>
      <c r="S53" s="273" t="s">
        <v>411</v>
      </c>
      <c r="T53" s="273" t="s">
        <v>412</v>
      </c>
      <c r="U53" s="273" t="s">
        <v>412</v>
      </c>
    </row>
    <row r="54" spans="11:22" x14ac:dyDescent="0.2">
      <c r="K54" s="131">
        <v>14</v>
      </c>
      <c r="L54" s="132"/>
      <c r="M54" s="132"/>
      <c r="N54" s="151"/>
      <c r="O54" s="151"/>
      <c r="P54" s="275" t="s">
        <v>403</v>
      </c>
      <c r="Q54" s="273" t="s">
        <v>405</v>
      </c>
      <c r="R54" s="273" t="s">
        <v>404</v>
      </c>
      <c r="S54" s="273" t="s">
        <v>404</v>
      </c>
      <c r="T54" s="273" t="s">
        <v>404</v>
      </c>
      <c r="U54" s="273" t="s">
        <v>404</v>
      </c>
    </row>
    <row r="55" spans="11:22" x14ac:dyDescent="0.2">
      <c r="K55" s="131">
        <v>15</v>
      </c>
      <c r="L55" s="132"/>
      <c r="M55" s="132"/>
      <c r="N55" s="151"/>
      <c r="O55" s="151"/>
      <c r="P55" s="275"/>
      <c r="Q55" s="273"/>
      <c r="R55" s="273"/>
      <c r="S55" s="273"/>
      <c r="T55" s="273"/>
      <c r="U55" s="273"/>
    </row>
    <row r="56" spans="11:22" x14ac:dyDescent="0.2">
      <c r="K56" s="131">
        <v>16</v>
      </c>
      <c r="L56" s="132"/>
      <c r="M56" s="132"/>
      <c r="N56" s="268"/>
      <c r="O56" s="151"/>
      <c r="Q56" s="134"/>
      <c r="T56" s="212"/>
    </row>
    <row r="57" spans="11:22" x14ac:dyDescent="0.2">
      <c r="K57" s="131">
        <v>17</v>
      </c>
      <c r="L57" s="132"/>
      <c r="M57" s="132"/>
      <c r="N57" s="268"/>
      <c r="O57" s="151"/>
      <c r="Q57" s="134"/>
      <c r="T57" s="212"/>
    </row>
    <row r="58" spans="11:22" x14ac:dyDescent="0.2">
      <c r="K58" s="131">
        <v>18</v>
      </c>
      <c r="L58" s="132"/>
      <c r="M58" s="132"/>
      <c r="N58" s="268"/>
      <c r="O58" s="151"/>
      <c r="Q58" s="134"/>
      <c r="T58" s="212"/>
    </row>
    <row r="59" spans="11:22" x14ac:dyDescent="0.2">
      <c r="K59" s="131">
        <v>19</v>
      </c>
      <c r="L59" s="132"/>
      <c r="M59" s="132"/>
      <c r="N59" s="268"/>
      <c r="O59" s="151"/>
      <c r="Q59" s="134"/>
      <c r="T59" s="212"/>
    </row>
    <row r="60" spans="11:22" x14ac:dyDescent="0.2">
      <c r="K60" s="131">
        <v>20</v>
      </c>
      <c r="L60" s="132"/>
      <c r="M60" s="132"/>
      <c r="N60" s="268"/>
      <c r="O60" s="151"/>
      <c r="T60" s="212"/>
    </row>
    <row r="61" spans="11:22" x14ac:dyDescent="0.2">
      <c r="T61" s="212"/>
      <c r="U61" s="47"/>
      <c r="V61" s="47"/>
    </row>
    <row r="64" spans="11:22" x14ac:dyDescent="0.2">
      <c r="N64" t="s">
        <v>415</v>
      </c>
    </row>
  </sheetData>
  <mergeCells count="2">
    <mergeCell ref="A1:J1"/>
    <mergeCell ref="K1:M1"/>
  </mergeCells>
  <phoneticPr fontId="24" type="noConversion"/>
  <hyperlinks>
    <hyperlink ref="J5" r:id="rId1"/>
    <hyperlink ref="J7" r:id="rId2"/>
    <hyperlink ref="J6" r:id="rId3" display="mailto:inscripciones.subidalanjaron@gmail.com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41</vt:i4>
      </vt:variant>
    </vt:vector>
  </HeadingPairs>
  <TitlesOfParts>
    <vt:vector size="46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2021-06-10T18:59:58Z</dcterms:modified>
</cp:coreProperties>
</file>